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165" windowHeight="8430" firstSheet="1" activeTab="1"/>
  </bookViews>
  <sheets>
    <sheet name="ชป.ชม." sheetId="1" state="hidden" r:id="rId1"/>
    <sheet name="แม่แฝก" sheetId="2" r:id="rId2"/>
    <sheet name="งบประมาณ 2555" sheetId="3" r:id="rId3"/>
    <sheet name="Sheet1" sheetId="4" r:id="rId4"/>
    <sheet name="1" sheetId="5" r:id="rId5"/>
  </sheets>
  <definedNames>
    <definedName name="_xlnm.Print_Titles" localSheetId="0">'ชป.ชม.'!$37:$37</definedName>
    <definedName name="_xlnm.Print_Titles" localSheetId="1">'แม่แฝก'!$4:$4</definedName>
  </definedNames>
  <calcPr fullCalcOnLoad="1"/>
</workbook>
</file>

<file path=xl/comments2.xml><?xml version="1.0" encoding="utf-8"?>
<comments xmlns="http://schemas.openxmlformats.org/spreadsheetml/2006/main">
  <authors>
    <author>gfmis_user</author>
  </authors>
  <commentList>
    <comment ref="H33" authorId="0">
      <text>
        <r>
          <rPr>
            <b/>
            <sz val="8"/>
            <rFont val="Tahoma"/>
            <family val="0"/>
          </rPr>
          <t>gfmis_user: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<sst xmlns="http://schemas.openxmlformats.org/spreadsheetml/2006/main" count="540" uniqueCount="277">
  <si>
    <t>070035000H0858</t>
  </si>
  <si>
    <t>0700379004420009</t>
  </si>
  <si>
    <t>0700379004420058</t>
  </si>
  <si>
    <t>งบดำเนินงาน</t>
  </si>
  <si>
    <t>หมวด/รหัส</t>
  </si>
  <si>
    <t>โครงการชลประทานเชียงใหม่</t>
  </si>
  <si>
    <t>รหัสงบประมาณ</t>
  </si>
  <si>
    <t>เงินประจำงวด</t>
  </si>
  <si>
    <t>เบิกจ่าย</t>
  </si>
  <si>
    <t>คงเหลือ</t>
  </si>
  <si>
    <t>เปอร์เซ็นต์การเบิกจ่าย</t>
  </si>
  <si>
    <t>ชื่องาน</t>
  </si>
  <si>
    <t>งบลงทุน</t>
  </si>
  <si>
    <t>รายจ่ายอื่น</t>
  </si>
  <si>
    <t>งบกลาง</t>
  </si>
  <si>
    <t>สำนัก/โครงการ</t>
  </si>
  <si>
    <t>รวม</t>
  </si>
  <si>
    <t>รวมทั้งสิ้น</t>
  </si>
  <si>
    <t>เงินงบประมาณ</t>
  </si>
  <si>
    <t>โครงการส่งน้ำฯแม่แฝก-แม่งัด</t>
  </si>
  <si>
    <t>อัตราการเบิกจ่าย</t>
  </si>
  <si>
    <t>ข้อผูกพัน</t>
  </si>
  <si>
    <t>รหัสกิจกรรมหลัก</t>
  </si>
  <si>
    <t>แหล่งของเงิน</t>
  </si>
  <si>
    <t>ลำดับที่</t>
  </si>
  <si>
    <t>โครงการส่งน้ำและบำรุงรักษาแม่แฝก-แม่งัด (ศูนย์ต้นทุน 0700300172)</t>
  </si>
  <si>
    <t>โครงการชลประทานเชียงใหม่  (ศูนย์ต้นทุน 0700300033)</t>
  </si>
  <si>
    <t>รายการ</t>
  </si>
  <si>
    <t>เบิก</t>
  </si>
  <si>
    <t>0700379001000000</t>
  </si>
  <si>
    <t>เงินกันเหลื่อมปี</t>
  </si>
  <si>
    <t>0700379002000000</t>
  </si>
  <si>
    <t>0700379003000000</t>
  </si>
  <si>
    <t>ค่าสาธารณูปโภค</t>
  </si>
  <si>
    <t>ค่าตอบแทนใช้สอยและวัสดุ</t>
  </si>
  <si>
    <t>เงินงบประมาณตาม พรบ.</t>
  </si>
  <si>
    <t>0700379002420013</t>
  </si>
  <si>
    <t>0700379001420006</t>
  </si>
  <si>
    <t>0700379001420188</t>
  </si>
  <si>
    <t>0700379001420036</t>
  </si>
  <si>
    <t>0700379001420147</t>
  </si>
  <si>
    <t>0700379002420007</t>
  </si>
  <si>
    <t>0700379004420007</t>
  </si>
  <si>
    <t>0700379001420002</t>
  </si>
  <si>
    <t>รายงานสรุปผลการก่อหนี้ผูกพันงบประมาณรายจ่ายประจำปีงบประมาณ พ.ศ.2554 ที่จัดสรรให้ใช้จ่ายเป็น ค่าครุภัณฑ์และค่าที่ดินและสิ่งก่อสร้าง ในทุกงบรายจ่าย</t>
  </si>
  <si>
    <t>ตั้งแต่ต้นปีงบประมาณจนถึงวันที่รายงาน     8  ธันวาคม  2554</t>
  </si>
  <si>
    <t>หน่วยงาน   โครงการชลประทานเชียงใหม่                      รหัสศูนย์ต้นทุน    0700300033</t>
  </si>
  <si>
    <t>ระบุงบประมาณที่ได้รับจัดสรร   โดยทำเครื่องหมาย  /  ลงใน  (  )  ดังนี้  ( / )   งบประมาณประจำปี  พ.ศ.2554  (  )  งบแผนปฏิบัติการไทยเข้มแข็ง พ.ศ.2555</t>
  </si>
  <si>
    <t>วงเงินงบประมาณ</t>
  </si>
  <si>
    <t>ยงไม้ได้ดำเนินการใด ๆ</t>
  </si>
  <si>
    <t>(โรดระบุว่าอยู่ในขั้นตอนใด เช่น อยู่ระหว่างดำเนินการเกี่ยวกับสถานที่เนื่องจาก....., พึ่งได้รับงบประมาณ เป็นต้น)</t>
  </si>
  <si>
    <t>วันสิ้นสุดสัญญา</t>
  </si>
  <si>
    <t>เบิกจ่ายเงินจากคลัง</t>
  </si>
  <si>
    <t>เบิกจ่ายแล้วบางส่วนจำนวน (บาท)</t>
  </si>
  <si>
    <t>เบิกจ่ายเสร็จสิ้นแล้วทั้งโครงการ</t>
  </si>
  <si>
    <t>ยังไม่เบิกจ่ายโปรดระบุเหตุผล</t>
  </si>
  <si>
    <t>โปรดระบุปัญหาอุปสรรคที่ทำให้ผลการเบิกจ่ายไม่เป็นไปตามแผนฯพร้อมแนวทางแก้ไข</t>
  </si>
  <si>
    <t>A</t>
  </si>
  <si>
    <t>B</t>
  </si>
  <si>
    <t>C</t>
  </si>
  <si>
    <t>D</t>
  </si>
  <si>
    <t>จำนวนเงินตามสัญา(บาท)</t>
  </si>
  <si>
    <t>E</t>
  </si>
  <si>
    <t>F</t>
  </si>
  <si>
    <t>G</t>
  </si>
  <si>
    <t>H</t>
  </si>
  <si>
    <t>วงเงินเหลือจ่าย(I=B-E)</t>
  </si>
  <si>
    <t>J</t>
  </si>
  <si>
    <t>1.  งบดำเนินงาน</t>
  </si>
  <si>
    <t>2.  ค่าครุภัณฑ์</t>
  </si>
  <si>
    <t>3.  ค่าที่ดินและสิ่งก่อสร้าง</t>
  </si>
  <si>
    <t>อยู่ระหว่างดำเนินการ</t>
  </si>
  <si>
    <t>กรุณาส่งข้อมูลให้สำนักงานคลังจังหวัดเชียงใหม่ ภายในวันที่ 8  ธันวาคม  2553 ทาง e-mail : anchalee t@cgd.go.th  หรือ  cmi@cgd.go.th  ขอบคุณค่ะ</t>
  </si>
  <si>
    <t>(ติดต่อเจ้าหน้าที่  อัญชลี   ไวยอาภา  โทร.0 5311-2399</t>
  </si>
  <si>
    <t>0700379001420105</t>
  </si>
  <si>
    <t>0700379001420031</t>
  </si>
  <si>
    <t>เชียงใหม่</t>
  </si>
  <si>
    <t>แม่แฝก</t>
  </si>
  <si>
    <t>แม่แตง</t>
  </si>
  <si>
    <t>แม่กวง</t>
  </si>
  <si>
    <t>คูน้ำ</t>
  </si>
  <si>
    <t>0700379001410000</t>
  </si>
  <si>
    <t>0700379003420023</t>
  </si>
  <si>
    <t>07003A1036420237</t>
  </si>
  <si>
    <t>0700379001420025</t>
  </si>
  <si>
    <t>9090988010160001</t>
  </si>
  <si>
    <t>0700379002420114</t>
  </si>
  <si>
    <t>0700379001700002</t>
  </si>
  <si>
    <t>0700379001700004</t>
  </si>
  <si>
    <t>0700379001420201</t>
  </si>
  <si>
    <t>0700379001420024</t>
  </si>
  <si>
    <t>0700379003700001</t>
  </si>
  <si>
    <t>0700379001420029</t>
  </si>
  <si>
    <t>0700379001420030</t>
  </si>
  <si>
    <t>ก่อสร้าง1</t>
  </si>
  <si>
    <t>0700379002410000</t>
  </si>
  <si>
    <t>ฮ่องไคร้</t>
  </si>
  <si>
    <t>0700379003410000</t>
  </si>
  <si>
    <t>0700379004410000</t>
  </si>
  <si>
    <t>909098801016</t>
  </si>
  <si>
    <t>0700379003420026</t>
  </si>
  <si>
    <t>9090988010550001</t>
  </si>
  <si>
    <t>รวมทิ้งสิ้น</t>
  </si>
  <si>
    <t>0700379001420033</t>
  </si>
  <si>
    <t>9090988010630001</t>
  </si>
  <si>
    <t>9090988010630002</t>
  </si>
  <si>
    <t>9090988010630003</t>
  </si>
  <si>
    <t>9090988010630004</t>
  </si>
  <si>
    <t>9090988010630005</t>
  </si>
  <si>
    <t>0700379002700001</t>
  </si>
  <si>
    <t>0700379002420012</t>
  </si>
  <si>
    <t>90909880103A0001</t>
  </si>
  <si>
    <t>90909880101A0001</t>
  </si>
  <si>
    <t>9090988010990001</t>
  </si>
  <si>
    <t>0700379002420229</t>
  </si>
  <si>
    <t>0700379003420104</t>
  </si>
  <si>
    <t>90909880103G0001</t>
  </si>
  <si>
    <t>90909880103G0002</t>
  </si>
  <si>
    <t>0700379003110000</t>
  </si>
  <si>
    <t>0700391052410000</t>
  </si>
  <si>
    <t>90909880103M0001</t>
  </si>
  <si>
    <t>90909880106M0001</t>
  </si>
  <si>
    <t>90909880106M0002</t>
  </si>
  <si>
    <t>90909880106M0003</t>
  </si>
  <si>
    <t>90909880109K</t>
  </si>
  <si>
    <t>รวมงบกลาง</t>
  </si>
  <si>
    <t>งบรายจ่ายอื่น</t>
  </si>
  <si>
    <t>070035000G0847</t>
  </si>
  <si>
    <t>รวมรหัสงาน  22701</t>
  </si>
  <si>
    <t>รวมรหัสงาน  22703   แผนงานปรับโครงสร้างเศรษฐกิจภาคเกษตร  การสนับสนุนโครงการพัฒนาอันเนื่องมาจากพระราชดำริ</t>
  </si>
  <si>
    <t>070035000G0851</t>
  </si>
  <si>
    <t>แผนงานส่งเสริมการบริหารจัดการน้ำอย่างบูรณาการ  การจัดการน้ำชลประทาน</t>
  </si>
  <si>
    <t>สะพานคอนกรีตเสริมเหล็ก คลองส่งน้ำสายใหญ่แม่แฝก</t>
  </si>
  <si>
    <t>รวม 0700322703420027</t>
  </si>
  <si>
    <t>0700322703420027</t>
  </si>
  <si>
    <t xml:space="preserve">  งบกลาง   ค่าใช้จ่ายตามโครงการอันเนื่องมาจากพระราชดำริ</t>
  </si>
  <si>
    <t>รวมรหัสงาน  40710</t>
  </si>
  <si>
    <t>90909500000000</t>
  </si>
  <si>
    <t>ซ่อมแซมระบบส่งน้ำพร้อมอาคารประกอบอ่างเก็บน้ำแม่เริม</t>
  </si>
  <si>
    <t>รวม 0700322701420194</t>
  </si>
  <si>
    <t>0700322701420194</t>
  </si>
  <si>
    <t>รวม 0700322701420195</t>
  </si>
  <si>
    <t>0700322701420195</t>
  </si>
  <si>
    <t>รวม 90909407107F0001</t>
  </si>
  <si>
    <t>90909407107F0001</t>
  </si>
  <si>
    <t>ก่อสร้าง</t>
  </si>
  <si>
    <t>รายงานการเบิกจ่ายเงินงบประมาณ  2556 (เงินกันไว้เบิกเหลื่อมปี 2555)</t>
  </si>
  <si>
    <t>รายงานการเบิกจ่ายเงินงบประมาณ  2556</t>
  </si>
  <si>
    <t>รวมรหัสงาน  22001</t>
  </si>
  <si>
    <t>0700322001000000</t>
  </si>
  <si>
    <t>ค่าตอบแทนใช้สอยและวัสดุ (ค่าตอบแทนอาสาสมัคร)</t>
  </si>
  <si>
    <r>
      <t xml:space="preserve">รวมรหัสงาน  22002 </t>
    </r>
    <r>
      <rPr>
        <b/>
        <sz val="16"/>
        <rFont val="Angsana New"/>
        <family val="1"/>
      </rPr>
      <t>แผนงานส่งเสริมการบริหารจัดการน้ำอย่างบูรณาการ การจัดหาแหล่งน้ำและเพิ่มพื้นที่ชลประทาน</t>
    </r>
  </si>
  <si>
    <t>070035000H0859</t>
  </si>
  <si>
    <t>070035000H0857</t>
  </si>
  <si>
    <t>รวมรหัสงาน  22003  แผนงานบริหารจัดการน้ำอย่างบูรณาการ  การสนับสนุนโครงการพัฒนาอันเนื่องมาจากพระราชดำริ</t>
  </si>
  <si>
    <t>070035000H0862</t>
  </si>
  <si>
    <t>รวม 0700322002420117</t>
  </si>
  <si>
    <t>0700322002420117</t>
  </si>
  <si>
    <t>070035000H0860</t>
  </si>
  <si>
    <t>สถานีสูบน้ำด้วยไฟฟ้าพร้อมระบบส่งน้ำ บ้านห้วยโจ้-หนองผำ</t>
  </si>
  <si>
    <t>แพเหล็กติดตั้งเครื่องสูบน้ำพร้อมอุปกรณ์ประกอบและติดตั้ง 1 ชุด</t>
  </si>
  <si>
    <t>เครื่องสูบน้ำ แบบหอยโข่งชนิดติดตั้งบนแพพร้อมอุปกรณ์และติดตั้ง 1 ชุด</t>
  </si>
  <si>
    <t>ดำเนินการโดยการไฟฟ้าส่วนภูมิภาค</t>
  </si>
  <si>
    <t>รวม 0700322001420052</t>
  </si>
  <si>
    <t>0700322001420052</t>
  </si>
  <si>
    <t>บำรุงรักษาหัวงานฝายสินธุกิจปรีชา 453 ไร่</t>
  </si>
  <si>
    <t>บำรุงรักษาหัวงานเขื่อนแม่งัดสมบูรณ์ชล  731 ไร่</t>
  </si>
  <si>
    <t>บำรุงรักษาคลองส่งน้ำสายใหญ่และคลองซอย แม่งัด 11 สาย 39.200กม</t>
  </si>
  <si>
    <t>บำรุงรักษาคลองส่งน้ำสายใหญ่และคลองซอย แม่แฝก 19 สาย 127.800กม</t>
  </si>
  <si>
    <t>บำรุงรักษาหัวงานและคลองส่งน้ำโครงการชลประทาน 1,572 ไร่</t>
  </si>
  <si>
    <t>รวม 0700322001410029</t>
  </si>
  <si>
    <t>0700322001410029</t>
  </si>
  <si>
    <t>กม.12+850 โครงการส่งน้ำและบำรุงรักษาแม่แฝก-แม่งัด</t>
  </si>
  <si>
    <t>การเบิกจ่ายเงินงบประมาณปีงบประมาณ  2556</t>
  </si>
  <si>
    <t xml:space="preserve">   -เงินงบประมาณ 2556</t>
  </si>
  <si>
    <t xml:space="preserve">อ่างเก็บน้ำแม่หลุ (จ้างเหมา) </t>
  </si>
  <si>
    <r>
      <t>โครงการปรับปรุงคลองส่งน้ำลำเหมืองทุ่งแข้งกวง</t>
    </r>
  </si>
  <si>
    <t>070035000H0861</t>
  </si>
  <si>
    <t xml:space="preserve">อ่างเก็บน้ำแม่หลุ </t>
  </si>
  <si>
    <t>ซ่อมแซมตลิ่งฝั่งขวาแม่น้ำปิง บ้านดอยน้อย</t>
  </si>
  <si>
    <t>ซ่อมแซมฝายแม่แจ่ม</t>
  </si>
  <si>
    <t>ซ่อมแซมฝายทุ่งพระบาท</t>
  </si>
  <si>
    <t>ซ่อมแซมเครื่องกว้านบานระบายคลองส่งน้ำแม่แฝก 1 งาน</t>
  </si>
  <si>
    <t>ซ่อมแซม ปตร. ปากคลองส่งน้ำสายใหญ่แม่แฝก 1 งาน</t>
  </si>
  <si>
    <t>ซ่อมแซมท่อลอดคลองซอย 1R-3L-RMC แม่งัด กม.0+700 1 งาน</t>
  </si>
  <si>
    <t>รวม 0700322001420062</t>
  </si>
  <si>
    <t>0700322001420062</t>
  </si>
  <si>
    <t>ค่าบำรุงรักษาทางลำเลียงใหญ่</t>
  </si>
  <si>
    <t>รวม 0700322003410027</t>
  </si>
  <si>
    <t>0700322003410027</t>
  </si>
  <si>
    <t>ฝายบ้านขุนตื่นน้อยพร้อมระบบส่งน้ำ จัดหาน้ำสนับสนุนโครงการ</t>
  </si>
  <si>
    <t>ขยายผลโครงการหลวงเพื่อแก้ปัญหาพื้นที่ปลูกฝิ่นอย่างยั่งยืน</t>
  </si>
  <si>
    <t>ซ่อมแซมระบบส่งน้ำสาย 1L-RMC NO.3 พร้อมอาคารประกอบอ่าง</t>
  </si>
  <si>
    <t>เก็บน้ำห้วยแม่ออน</t>
  </si>
  <si>
    <t>รวม 0700322001410021</t>
  </si>
  <si>
    <t>0700322001410021</t>
  </si>
  <si>
    <t>ขยายเขตไฟฟ้าแรงสูงอาคารที่ทำการ โครงการฯแม่แฝก-แม่งัด</t>
  </si>
  <si>
    <t>ค่าใช้จ่ายอื่น</t>
  </si>
  <si>
    <t>รวม 0700322001700002</t>
  </si>
  <si>
    <t>0700322001700002</t>
  </si>
  <si>
    <t>ค่าใช้จ่ายในการปรับปรุงระบบการจัดการน้ำและพัฒนาองค์กรผู้ใช้น้ำ</t>
  </si>
  <si>
    <t>ซ่อมแซมคลองซอย 1L-8R แม่แฝก</t>
  </si>
  <si>
    <t>รวม 0700322003700002</t>
  </si>
  <si>
    <t>0700322003700002</t>
  </si>
  <si>
    <t>ค่าใช้จ่ายในการพัฒนาองค์กรผู้ใช้น้ำชลประทานในพื้นที่โครงการ</t>
  </si>
  <si>
    <t>อันเนื่องมาจากพระราชดำริ</t>
  </si>
  <si>
    <t>รวม 0700322003420029</t>
  </si>
  <si>
    <t>0700322003420029</t>
  </si>
  <si>
    <t>ซ่อมแซมฝายสบแม่รวมพร้อมระบบส่งน้ำอันเนื่องมาจากพระราชดำริ</t>
  </si>
  <si>
    <t>ซ่อมแซมระบบส่งน้ำฝายแม่แอบลูกที่ 3 อันเนื่องมาจากพระราชดำริ</t>
  </si>
  <si>
    <t>ซ่อมแซมระบบส่งน้ำฝายแม่ฮ่างขวาอันเนื่องมาจากพระราชดำริ</t>
  </si>
  <si>
    <t>ซ่อมแซมระบบส่งน้ำแม่กลางหลวงอันเนื่องมาจากพระราชดำริ</t>
  </si>
  <si>
    <t>ซ่อมแซมระบบส่งน้ำฝายห้วยวอก(ห้วยทรายเหลือง)อันเนื่องมาจากพระราชดำริ</t>
  </si>
  <si>
    <t>ซ่อมแซมประตูน้ำ(Operate Gate)อ่างเก็บน้ำแม่หาดอันเนื่องมาจากพระราชดำริ</t>
  </si>
  <si>
    <t>ซ่อมแซมฝายแม่ขี้มูก (บ้านทับ) อันเนื่องมาจากพระราชดำริ</t>
  </si>
  <si>
    <t>ซ่อมแซมประตูน้ำ(Operate Gate)อ่างเก็บน้ำบ้านดงอันเนื่องมาจากพระราชดำริ</t>
  </si>
  <si>
    <t>ซ่อมแซมระบบส่งน้ำอ่างเก็บน้ำแม่นาเกินอันเนื่องมาจากพระราชดำริ</t>
  </si>
  <si>
    <t>ซ่อมแซมอ่างเก็บน้ำห้วยตองอันเนื่องมาจากพระราชดำริ</t>
  </si>
  <si>
    <t>ซ่อมแซมคลองผันน้ำอ่างเก็บน้ำแม่หาดมายังอ่างเก็บน้ำแม่ตูบอันเนื่องมาจากพระราชดำริ</t>
  </si>
  <si>
    <t>ซ่อมแซมระบบส่งน้ำโครงการอนุรักษ์สภาพป่าพื้นที่ อ.ไชยปราการ-อ.เชียงดาว</t>
  </si>
  <si>
    <t>รวม 0700322001420053</t>
  </si>
  <si>
    <t>0700322001420053</t>
  </si>
  <si>
    <t>ขุดลอกตะกอนหน้าฝายเหมืองใหม่</t>
  </si>
  <si>
    <t>ขุดลอกหน้าฝายสินธุกิจปรีชา</t>
  </si>
  <si>
    <t>รวม 0700322001420054</t>
  </si>
  <si>
    <t>0700322001420054</t>
  </si>
  <si>
    <t>ขุดลอกลำน้ำแม่งัด กม.0+000-3+000</t>
  </si>
  <si>
    <t>ขุดลอกคลองส่งน้ำสายใหญ่แม่แฝก กม.22+000-36+000</t>
  </si>
  <si>
    <t>ซ่อมแซมระบบส่งน้ำอ่างเก็บน้ำสันหนอง(เหมืองหลวง)อันเนื่องมาจากพระราชดำริ</t>
  </si>
  <si>
    <t>รวม 0700322001420057</t>
  </si>
  <si>
    <t>0700322001420057</t>
  </si>
  <si>
    <t>อ่างเก็บน้ำโป่งจ้อ</t>
  </si>
  <si>
    <t>(5000H0858206)</t>
  </si>
  <si>
    <t>(5000G0851221)</t>
  </si>
  <si>
    <t>(5000H0861221)</t>
  </si>
  <si>
    <t>(5000H0858207)</t>
  </si>
  <si>
    <t>(5000H0860218)</t>
  </si>
  <si>
    <t>ซ่อมแซมระบบไฟฟ้าเครื่องกว้านระบาย อาคารระบายน้ำ</t>
  </si>
  <si>
    <t>(Service Spillway) เขื่อนแม่งัดสมบูรณ์ชล</t>
  </si>
  <si>
    <t>ซ่อมแซมไซฟ่อน คลองซอย 9 ขวา แม่แฝก กม.1+690</t>
  </si>
  <si>
    <t>ซ่อมแซมหินเรียงท้ายฝายแม่แฝก</t>
  </si>
  <si>
    <t>ซ่อมแซมท่อลอดคลอง กม.2+669 RMC แม่งัด</t>
  </si>
  <si>
    <t>ซ่อมแซมท่อลอดคลอง กม.5+224 LMC แม่งัด</t>
  </si>
  <si>
    <t>ซ่อมแซมคลองส่งน้ำ 3L-1R-LMC แม่งัด และอาคารประกอบ</t>
  </si>
  <si>
    <t>ซ่อมแซมคลองส่งน้ำ 5R-2L-RMC แม่งัด และอาคารประกอบ</t>
  </si>
  <si>
    <t>ซ่อมแซมอาคารพลับพลาเขื่อนแม่งัดสมบูรณ์ชล</t>
  </si>
  <si>
    <t>รวม 0700322003410002</t>
  </si>
  <si>
    <t>0700322003410002</t>
  </si>
  <si>
    <t>ระบบส่งน้ำและอาคารประกอบภายในศูนย์ฯจัดหาน้ำสนับสนุนศูนย์</t>
  </si>
  <si>
    <t>พัฒนาโครงการหลวงปางดะ</t>
  </si>
  <si>
    <t>รวม 0700322003410005</t>
  </si>
  <si>
    <t>0700322003410005</t>
  </si>
  <si>
    <t>สถานีสูบน้ำพร้อมระบบส่งน้ำและอาคารประกอบ จัดหาน้ำสนับสนุน</t>
  </si>
  <si>
    <t>ศูนย์พัฒนาโครงการหลวงตีนตก</t>
  </si>
  <si>
    <t>รวม 0700322003410006</t>
  </si>
  <si>
    <t>0700322003410006</t>
  </si>
  <si>
    <t>ฝายบ้านห้วยส้านพร้อมระบบส่งน้ำและอาคารประกอบ จัดหาน้ำสนับสนุน</t>
  </si>
  <si>
    <t>ศูนย์พัฒนาโครงการหลวงหมอกจ๋าม</t>
  </si>
  <si>
    <t>ซ่อมแซมอ่างเก็บน้ำห้วยเสี้ยวอันเนื่องมาจากพระราชดำริ</t>
  </si>
  <si>
    <t>รวม 0700322002700002</t>
  </si>
  <si>
    <t>0700322002700002</t>
  </si>
  <si>
    <t>ค่าใช้จ่ายเพื่อส่งเสริมการมีส่วนร่วมงานก่อสร้างแหล่งน้ำตามรัฐธรรมนูญ 2550</t>
  </si>
  <si>
    <t>รวม 0700322001420060</t>
  </si>
  <si>
    <t>0700322001420060</t>
  </si>
  <si>
    <t>ค่ากำจัดวัชพืช</t>
  </si>
  <si>
    <t>รวม 0700322003420003</t>
  </si>
  <si>
    <t>0700322003420003</t>
  </si>
  <si>
    <t>ระบบส่งน้ำฝายแม่เตียน1 พร้อมอาคารประกอบ จัดหาน้ำสนับสนุน</t>
  </si>
  <si>
    <t>ศูนย์พัฒนาโครงการหลวงแม่สะป๊อก</t>
  </si>
  <si>
    <t>อ่างเก็บน้ำแม่ทะลบหลวง</t>
  </si>
  <si>
    <t>รวม 0700322003410055</t>
  </si>
  <si>
    <t>0700322003410055</t>
  </si>
  <si>
    <t>ปรับปรุงระบบส่งน้ำพร้อมอาคารประกอบอ่างเก็บน้ำห้วยน้ำขุ่น</t>
  </si>
  <si>
    <t>ซ่อมแซมเครื่องสูบน้ำและระบบส่งน้ำพร้อมอาคารประกอบภายใน</t>
  </si>
  <si>
    <t>พระตำหนักภูพิงคราชนิเวศน์</t>
  </si>
  <si>
    <t>ณ วันที่  31  มีนาคม  2556</t>
  </si>
  <si>
    <t>เงินเพิ่มในระบบ GFMIS (ยังไม่ได้รับใบงวด)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</si>
</sst>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#,##0.00000000000"/>
    <numFmt numFmtId="213" formatCode="#,##0.0000000000"/>
    <numFmt numFmtId="214" formatCode="#,##0.000000000"/>
    <numFmt numFmtId="215" formatCode="#,##0.00000000"/>
    <numFmt numFmtId="216" formatCode="#,##0.0000000"/>
    <numFmt numFmtId="217" formatCode="#,##0.000000"/>
    <numFmt numFmtId="218" formatCode="#,##0.00000"/>
    <numFmt numFmtId="219" formatCode="#,##0.0000"/>
    <numFmt numFmtId="220" formatCode="#,##0.000"/>
    <numFmt numFmtId="221" formatCode="#,##0.0"/>
    <numFmt numFmtId="222" formatCode="_-* #,##0.0_-;\-* #,##0.0_-;_-* &quot;-&quot;??_-;_-@_-"/>
    <numFmt numFmtId="223" formatCode="0.0%"/>
    <numFmt numFmtId="224" formatCode="#,##0.00;[Red]#,##0.00"/>
    <numFmt numFmtId="225" formatCode="&quot;ใช่&quot;;&quot;ใช่&quot;;&quot;ไม่ใช่&quot;"/>
    <numFmt numFmtId="226" formatCode="&quot;จริง&quot;;&quot;จริง&quot;;&quot;เท็จ&quot;"/>
    <numFmt numFmtId="227" formatCode="&quot;เปิด&quot;;&quot;เปิด&quot;;&quot;ปิด&quot;"/>
    <numFmt numFmtId="228" formatCode="[$€-2]\ #,##0.00_);[Red]\([$€-2]\ #,##0.00\)"/>
    <numFmt numFmtId="229" formatCode="#,##0.00_ ;\-#,##0.00\ "/>
    <numFmt numFmtId="230" formatCode="0.00_);[Red]\(0.00\)"/>
    <numFmt numFmtId="231" formatCode="_-* #,##0_-;\-* #,##0_-;_-* &quot;-&quot;??_-;_-@_-"/>
    <numFmt numFmtId="232" formatCode="0.0"/>
    <numFmt numFmtId="233" formatCode="_(* #,##0.0_);_(* \(#,##0.0\);_(* &quot;-&quot;??_);_(@_)"/>
    <numFmt numFmtId="234" formatCode="_(* #,##0_);_(* \(#,##0\);_(* &quot;-&quot;??_);_(@_)"/>
    <numFmt numFmtId="235" formatCode="#,##0.0_);\(#,##0.0\)"/>
  </numFmts>
  <fonts count="62">
    <font>
      <sz val="10"/>
      <name val="Arial"/>
      <family val="0"/>
    </font>
    <font>
      <sz val="14"/>
      <name val="Cordia New"/>
      <family val="2"/>
    </font>
    <font>
      <sz val="14"/>
      <name val="Angsana New"/>
      <family val="1"/>
    </font>
    <font>
      <sz val="16"/>
      <name val="Angsana New"/>
      <family val="1"/>
    </font>
    <font>
      <sz val="14"/>
      <name val="Browallia New"/>
      <family val="2"/>
    </font>
    <font>
      <b/>
      <sz val="16"/>
      <name val="Angsana New"/>
      <family val="1"/>
    </font>
    <font>
      <b/>
      <sz val="14"/>
      <name val="Cordia New"/>
      <family val="2"/>
    </font>
    <font>
      <b/>
      <sz val="18"/>
      <name val="Angsana New"/>
      <family val="1"/>
    </font>
    <font>
      <b/>
      <u val="double"/>
      <sz val="16"/>
      <name val="Angsana New"/>
      <family val="1"/>
    </font>
    <font>
      <b/>
      <sz val="14"/>
      <name val="Angsana New"/>
      <family val="1"/>
    </font>
    <font>
      <b/>
      <sz val="14"/>
      <name val="CordiaUPC"/>
      <family val="2"/>
    </font>
    <font>
      <b/>
      <u val="double"/>
      <sz val="14"/>
      <name val="Cordia New"/>
      <family val="2"/>
    </font>
    <font>
      <u val="single"/>
      <sz val="14"/>
      <name val="Browallia New"/>
      <family val="2"/>
    </font>
    <font>
      <b/>
      <sz val="14"/>
      <name val="Browallia New"/>
      <family val="2"/>
    </font>
    <font>
      <sz val="14"/>
      <name val="AngsanaUPC"/>
      <family val="1"/>
    </font>
    <font>
      <b/>
      <u val="single"/>
      <sz val="14"/>
      <name val="Cordia New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20"/>
      <name val="Angsana New"/>
      <family val="1"/>
    </font>
    <font>
      <sz val="13"/>
      <name val="Angsana New"/>
      <family val="1"/>
    </font>
    <font>
      <b/>
      <u val="single"/>
      <sz val="16"/>
      <name val="Angsana New"/>
      <family val="1"/>
    </font>
    <font>
      <sz val="16"/>
      <color indexed="10"/>
      <name val="Angsana New"/>
      <family val="1"/>
    </font>
    <font>
      <sz val="12"/>
      <name val="Angsana New"/>
      <family val="1"/>
    </font>
    <font>
      <sz val="8"/>
      <name val="Tahoma"/>
      <family val="0"/>
    </font>
    <font>
      <b/>
      <sz val="8"/>
      <name val="Tahoma"/>
      <family val="0"/>
    </font>
    <font>
      <sz val="11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1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2" applyNumberFormat="0" applyAlignment="0" applyProtection="0"/>
    <xf numFmtId="0" fontId="51" fillId="0" borderId="3" applyNumberFormat="0" applyFill="0" applyAlignment="0" applyProtection="0"/>
    <xf numFmtId="0" fontId="52" fillId="21" borderId="0" applyNumberFormat="0" applyBorder="0" applyAlignment="0" applyProtection="0"/>
    <xf numFmtId="0" fontId="53" fillId="22" borderId="1" applyNumberFormat="0" applyAlignment="0" applyProtection="0"/>
    <xf numFmtId="0" fontId="54" fillId="23" borderId="0" applyNumberFormat="0" applyBorder="0" applyAlignment="0" applyProtection="0"/>
    <xf numFmtId="0" fontId="55" fillId="0" borderId="4" applyNumberFormat="0" applyFill="0" applyAlignment="0" applyProtection="0"/>
    <xf numFmtId="0" fontId="56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57" fillId="19" borderId="5" applyNumberFormat="0" applyAlignment="0" applyProtection="0"/>
    <xf numFmtId="0" fontId="0" fillId="31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4" fontId="4" fillId="0" borderId="12" xfId="33" applyNumberFormat="1" applyFont="1" applyBorder="1" applyAlignment="1" quotePrefix="1">
      <alignment horizontal="right"/>
    </xf>
    <xf numFmtId="0" fontId="6" fillId="0" borderId="11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4" fontId="4" fillId="0" borderId="16" xfId="33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 quotePrefix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43" fontId="9" fillId="0" borderId="21" xfId="33" applyFont="1" applyBorder="1" applyAlignment="1">
      <alignment/>
    </xf>
    <xf numFmtId="43" fontId="9" fillId="0" borderId="21" xfId="0" applyNumberFormat="1" applyFont="1" applyBorder="1" applyAlignment="1">
      <alignment/>
    </xf>
    <xf numFmtId="0" fontId="9" fillId="0" borderId="21" xfId="0" applyFont="1" applyBorder="1" applyAlignment="1">
      <alignment/>
    </xf>
    <xf numFmtId="43" fontId="9" fillId="0" borderId="2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20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4" fontId="4" fillId="0" borderId="13" xfId="0" applyNumberFormat="1" applyFont="1" applyBorder="1" applyAlignment="1" quotePrefix="1">
      <alignment/>
    </xf>
    <xf numFmtId="0" fontId="3" fillId="0" borderId="20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4" fillId="0" borderId="13" xfId="0" applyNumberFormat="1" applyFont="1" applyBorder="1" applyAlignment="1" quotePrefix="1">
      <alignment horizontal="center"/>
    </xf>
    <xf numFmtId="0" fontId="11" fillId="0" borderId="12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23" xfId="0" applyFont="1" applyFill="1" applyBorder="1" applyAlignment="1">
      <alignment horizontal="center" vertical="center" wrapText="1"/>
    </xf>
    <xf numFmtId="43" fontId="5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43" fontId="3" fillId="0" borderId="16" xfId="33" applyFont="1" applyFill="1" applyBorder="1" applyAlignment="1">
      <alignment horizontal="center"/>
    </xf>
    <xf numFmtId="39" fontId="3" fillId="0" borderId="12" xfId="33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0" fontId="5" fillId="0" borderId="24" xfId="0" applyFont="1" applyFill="1" applyBorder="1" applyAlignment="1">
      <alignment horizontal="center" vertical="center" wrapText="1"/>
    </xf>
    <xf numFmtId="39" fontId="3" fillId="0" borderId="11" xfId="33" applyNumberFormat="1" applyFont="1" applyFill="1" applyBorder="1" applyAlignment="1" quotePrefix="1">
      <alignment horizontal="right"/>
    </xf>
    <xf numFmtId="4" fontId="3" fillId="0" borderId="11" xfId="0" applyNumberFormat="1" applyFont="1" applyFill="1" applyBorder="1" applyAlignment="1">
      <alignment horizontal="right"/>
    </xf>
    <xf numFmtId="4" fontId="3" fillId="0" borderId="19" xfId="0" applyNumberFormat="1" applyFont="1" applyFill="1" applyBorder="1" applyAlignment="1">
      <alignment horizontal="right"/>
    </xf>
    <xf numFmtId="43" fontId="3" fillId="0" borderId="12" xfId="33" applyFont="1" applyFill="1" applyBorder="1" applyAlignment="1">
      <alignment horizontal="center"/>
    </xf>
    <xf numFmtId="4" fontId="4" fillId="0" borderId="11" xfId="33" applyNumberFormat="1" applyFont="1" applyFill="1" applyBorder="1" applyAlignment="1" quotePrefix="1">
      <alignment horizontal="right"/>
    </xf>
    <xf numFmtId="43" fontId="3" fillId="0" borderId="0" xfId="0" applyNumberFormat="1" applyFont="1" applyFill="1" applyBorder="1" applyAlignment="1">
      <alignment/>
    </xf>
    <xf numFmtId="43" fontId="3" fillId="0" borderId="17" xfId="0" applyNumberFormat="1" applyFont="1" applyFill="1" applyBorder="1" applyAlignment="1">
      <alignment/>
    </xf>
    <xf numFmtId="0" fontId="4" fillId="0" borderId="26" xfId="0" applyFont="1" applyBorder="1" applyAlignment="1" quotePrefix="1">
      <alignment horizontal="center"/>
    </xf>
    <xf numFmtId="4" fontId="5" fillId="0" borderId="23" xfId="0" applyNumberFormat="1" applyFont="1" applyFill="1" applyBorder="1" applyAlignment="1">
      <alignment horizontal="center" vertical="center" wrapText="1"/>
    </xf>
    <xf numFmtId="4" fontId="4" fillId="0" borderId="22" xfId="33" applyNumberFormat="1" applyFont="1" applyFill="1" applyBorder="1" applyAlignment="1" quotePrefix="1">
      <alignment horizontal="right"/>
    </xf>
    <xf numFmtId="39" fontId="3" fillId="0" borderId="12" xfId="33" applyNumberFormat="1" applyFont="1" applyFill="1" applyBorder="1" applyAlignment="1" quotePrefix="1">
      <alignment horizontal="right"/>
    </xf>
    <xf numFmtId="4" fontId="4" fillId="0" borderId="12" xfId="33" applyNumberFormat="1" applyFont="1" applyFill="1" applyBorder="1" applyAlignment="1" quotePrefix="1">
      <alignment horizontal="right"/>
    </xf>
    <xf numFmtId="4" fontId="4" fillId="0" borderId="20" xfId="33" applyNumberFormat="1" applyFont="1" applyFill="1" applyBorder="1" applyAlignment="1" quotePrefix="1">
      <alignment horizontal="right"/>
    </xf>
    <xf numFmtId="4" fontId="4" fillId="0" borderId="17" xfId="33" applyNumberFormat="1" applyFont="1" applyFill="1" applyBorder="1" applyAlignment="1" quotePrefix="1">
      <alignment horizontal="right"/>
    </xf>
    <xf numFmtId="4" fontId="13" fillId="0" borderId="16" xfId="33" applyNumberFormat="1" applyFont="1" applyFill="1" applyBorder="1" applyAlignment="1">
      <alignment horizontal="center"/>
    </xf>
    <xf numFmtId="4" fontId="4" fillId="0" borderId="16" xfId="33" applyNumberFormat="1" applyFont="1" applyFill="1" applyBorder="1" applyAlignment="1">
      <alignment horizontal="center"/>
    </xf>
    <xf numFmtId="4" fontId="4" fillId="0" borderId="22" xfId="33" applyNumberFormat="1" applyFont="1" applyFill="1" applyBorder="1" applyAlignment="1">
      <alignment horizontal="center"/>
    </xf>
    <xf numFmtId="4" fontId="4" fillId="0" borderId="12" xfId="33" applyNumberFormat="1" applyFont="1" applyFill="1" applyBorder="1" applyAlignment="1">
      <alignment horizontal="center"/>
    </xf>
    <xf numFmtId="4" fontId="4" fillId="0" borderId="20" xfId="33" applyNumberFormat="1" applyFont="1" applyFill="1" applyBorder="1" applyAlignment="1">
      <alignment horizontal="center"/>
    </xf>
    <xf numFmtId="4" fontId="4" fillId="0" borderId="25" xfId="33" applyNumberFormat="1" applyFont="1" applyFill="1" applyBorder="1" applyAlignment="1">
      <alignment horizontal="center"/>
    </xf>
    <xf numFmtId="4" fontId="4" fillId="0" borderId="17" xfId="33" applyNumberFormat="1" applyFont="1" applyFill="1" applyBorder="1" applyAlignment="1">
      <alignment horizontal="center"/>
    </xf>
    <xf numFmtId="39" fontId="3" fillId="0" borderId="27" xfId="33" applyNumberFormat="1" applyFont="1" applyFill="1" applyBorder="1" applyAlignment="1" quotePrefix="1">
      <alignment horizontal="right"/>
    </xf>
    <xf numFmtId="39" fontId="3" fillId="0" borderId="22" xfId="33" applyNumberFormat="1" applyFont="1" applyFill="1" applyBorder="1" applyAlignment="1" quotePrefix="1">
      <alignment horizontal="right"/>
    </xf>
    <xf numFmtId="0" fontId="2" fillId="0" borderId="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2" fillId="0" borderId="0" xfId="0" applyFont="1" applyFill="1" applyAlignment="1">
      <alignment/>
    </xf>
    <xf numFmtId="4" fontId="4" fillId="0" borderId="25" xfId="33" applyNumberFormat="1" applyFont="1" applyFill="1" applyBorder="1" applyAlignment="1" quotePrefix="1">
      <alignment horizontal="right"/>
    </xf>
    <xf numFmtId="4" fontId="4" fillId="0" borderId="28" xfId="33" applyNumberFormat="1" applyFont="1" applyFill="1" applyBorder="1" applyAlignment="1" quotePrefix="1">
      <alignment horizontal="right"/>
    </xf>
    <xf numFmtId="0" fontId="4" fillId="0" borderId="13" xfId="0" applyFont="1" applyBorder="1" applyAlignment="1">
      <alignment horizontal="center"/>
    </xf>
    <xf numFmtId="4" fontId="4" fillId="0" borderId="25" xfId="33" applyNumberFormat="1" applyFont="1" applyFill="1" applyBorder="1" applyAlignment="1">
      <alignment/>
    </xf>
    <xf numFmtId="0" fontId="4" fillId="0" borderId="18" xfId="0" applyFont="1" applyBorder="1" applyAlignment="1" quotePrefix="1">
      <alignment horizontal="center"/>
    </xf>
    <xf numFmtId="0" fontId="4" fillId="0" borderId="19" xfId="0" applyFont="1" applyBorder="1" applyAlignment="1">
      <alignment horizontal="center"/>
    </xf>
    <xf numFmtId="4" fontId="4" fillId="0" borderId="20" xfId="33" applyNumberFormat="1" applyFont="1" applyFill="1" applyBorder="1" applyAlignment="1">
      <alignment/>
    </xf>
    <xf numFmtId="4" fontId="4" fillId="0" borderId="19" xfId="33" applyNumberFormat="1" applyFont="1" applyFill="1" applyBorder="1" applyAlignment="1" quotePrefix="1">
      <alignment horizontal="right"/>
    </xf>
    <xf numFmtId="39" fontId="3" fillId="0" borderId="22" xfId="33" applyNumberFormat="1" applyFont="1" applyFill="1" applyBorder="1" applyAlignment="1">
      <alignment/>
    </xf>
    <xf numFmtId="0" fontId="15" fillId="0" borderId="13" xfId="0" applyFont="1" applyBorder="1" applyAlignment="1">
      <alignment/>
    </xf>
    <xf numFmtId="43" fontId="3" fillId="0" borderId="11" xfId="33" applyFont="1" applyFill="1" applyBorder="1" applyAlignment="1">
      <alignment horizontal="center"/>
    </xf>
    <xf numFmtId="0" fontId="9" fillId="0" borderId="0" xfId="0" applyFont="1" applyFill="1" applyAlignment="1">
      <alignment/>
    </xf>
    <xf numFmtId="39" fontId="3" fillId="0" borderId="28" xfId="33" applyNumberFormat="1" applyFont="1" applyFill="1" applyBorder="1" applyAlignment="1" quotePrefix="1">
      <alignment horizontal="right"/>
    </xf>
    <xf numFmtId="39" fontId="3" fillId="0" borderId="25" xfId="33" applyNumberFormat="1" applyFont="1" applyFill="1" applyBorder="1" applyAlignment="1" quotePrefix="1">
      <alignment horizontal="right"/>
    </xf>
    <xf numFmtId="39" fontId="3" fillId="0" borderId="25" xfId="33" applyNumberFormat="1" applyFont="1" applyFill="1" applyBorder="1" applyAlignment="1">
      <alignment/>
    </xf>
    <xf numFmtId="4" fontId="4" fillId="0" borderId="17" xfId="33" applyNumberFormat="1" applyFont="1" applyFill="1" applyBorder="1" applyAlignment="1">
      <alignment/>
    </xf>
    <xf numFmtId="4" fontId="4" fillId="0" borderId="0" xfId="33" applyNumberFormat="1" applyFont="1" applyFill="1" applyBorder="1" applyAlignment="1" quotePrefix="1">
      <alignment horizontal="right"/>
    </xf>
    <xf numFmtId="43" fontId="3" fillId="32" borderId="16" xfId="33" applyFont="1" applyFill="1" applyBorder="1" applyAlignment="1">
      <alignment horizontal="center"/>
    </xf>
    <xf numFmtId="4" fontId="3" fillId="32" borderId="16" xfId="0" applyNumberFormat="1" applyFont="1" applyFill="1" applyBorder="1" applyAlignment="1">
      <alignment horizontal="right"/>
    </xf>
    <xf numFmtId="0" fontId="3" fillId="0" borderId="23" xfId="0" applyFont="1" applyBorder="1" applyAlignment="1">
      <alignment/>
    </xf>
    <xf numFmtId="43" fontId="3" fillId="0" borderId="23" xfId="33" applyFont="1" applyBorder="1" applyAlignment="1">
      <alignment/>
    </xf>
    <xf numFmtId="0" fontId="3" fillId="0" borderId="0" xfId="0" applyFont="1" applyAlignment="1">
      <alignment/>
    </xf>
    <xf numFmtId="43" fontId="2" fillId="0" borderId="12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4" fontId="4" fillId="0" borderId="22" xfId="33" applyNumberFormat="1" applyFont="1" applyFill="1" applyBorder="1" applyAlignment="1">
      <alignment/>
    </xf>
    <xf numFmtId="4" fontId="12" fillId="0" borderId="27" xfId="33" applyNumberFormat="1" applyFont="1" applyFill="1" applyBorder="1" applyAlignment="1" quotePrefix="1">
      <alignment horizontal="right"/>
    </xf>
    <xf numFmtId="4" fontId="4" fillId="0" borderId="27" xfId="33" applyNumberFormat="1" applyFont="1" applyFill="1" applyBorder="1" applyAlignment="1">
      <alignment horizontal="right"/>
    </xf>
    <xf numFmtId="4" fontId="4" fillId="0" borderId="27" xfId="33" applyNumberFormat="1" applyFont="1" applyFill="1" applyBorder="1" applyAlignment="1" quotePrefix="1">
      <alignment horizontal="right"/>
    </xf>
    <xf numFmtId="39" fontId="2" fillId="0" borderId="12" xfId="33" applyNumberFormat="1" applyFont="1" applyBorder="1" applyAlignment="1" quotePrefix="1">
      <alignment horizontal="right"/>
    </xf>
    <xf numFmtId="4" fontId="4" fillId="0" borderId="18" xfId="0" applyNumberFormat="1" applyFont="1" applyBorder="1" applyAlignment="1" quotePrefix="1">
      <alignment/>
    </xf>
    <xf numFmtId="0" fontId="4" fillId="0" borderId="18" xfId="0" applyNumberFormat="1" applyFont="1" applyBorder="1" applyAlignment="1" quotePrefix="1">
      <alignment horizontal="center"/>
    </xf>
    <xf numFmtId="39" fontId="2" fillId="0" borderId="20" xfId="33" applyNumberFormat="1" applyFont="1" applyBorder="1" applyAlignment="1" quotePrefix="1">
      <alignment horizontal="right"/>
    </xf>
    <xf numFmtId="39" fontId="3" fillId="0" borderId="20" xfId="33" applyNumberFormat="1" applyFont="1" applyFill="1" applyBorder="1" applyAlignment="1">
      <alignment/>
    </xf>
    <xf numFmtId="39" fontId="3" fillId="0" borderId="19" xfId="33" applyNumberFormat="1" applyFont="1" applyFill="1" applyBorder="1" applyAlignment="1" quotePrefix="1">
      <alignment horizontal="right"/>
    </xf>
    <xf numFmtId="39" fontId="3" fillId="0" borderId="20" xfId="33" applyNumberFormat="1" applyFont="1" applyFill="1" applyBorder="1" applyAlignment="1" quotePrefix="1">
      <alignment horizontal="right"/>
    </xf>
    <xf numFmtId="43" fontId="3" fillId="0" borderId="20" xfId="33" applyFont="1" applyFill="1" applyBorder="1" applyAlignment="1">
      <alignment horizontal="center"/>
    </xf>
    <xf numFmtId="0" fontId="4" fillId="0" borderId="26" xfId="0" applyNumberFormat="1" applyFont="1" applyBorder="1" applyAlignment="1" quotePrefix="1">
      <alignment horizontal="center"/>
    </xf>
    <xf numFmtId="39" fontId="2" fillId="0" borderId="25" xfId="33" applyNumberFormat="1" applyFont="1" applyBorder="1" applyAlignment="1">
      <alignment horizontal="left"/>
    </xf>
    <xf numFmtId="194" fontId="3" fillId="0" borderId="0" xfId="0" applyNumberFormat="1" applyFont="1" applyFill="1" applyBorder="1" applyAlignment="1">
      <alignment/>
    </xf>
    <xf numFmtId="223" fontId="10" fillId="0" borderId="0" xfId="0" applyNumberFormat="1" applyFont="1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43" fontId="3" fillId="0" borderId="29" xfId="33" applyFont="1" applyFill="1" applyBorder="1" applyAlignment="1">
      <alignment horizontal="center"/>
    </xf>
    <xf numFmtId="4" fontId="4" fillId="0" borderId="29" xfId="33" applyNumberFormat="1" applyFont="1" applyFill="1" applyBorder="1" applyAlignment="1" quotePrefix="1">
      <alignment horizontal="right"/>
    </xf>
    <xf numFmtId="4" fontId="3" fillId="0" borderId="0" xfId="0" applyNumberFormat="1" applyFont="1" applyFill="1" applyBorder="1" applyAlignment="1">
      <alignment/>
    </xf>
    <xf numFmtId="0" fontId="4" fillId="0" borderId="13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 quotePrefix="1">
      <alignment vertical="center"/>
    </xf>
    <xf numFmtId="0" fontId="1" fillId="0" borderId="13" xfId="0" applyFont="1" applyFill="1" applyBorder="1" applyAlignment="1" quotePrefix="1">
      <alignment horizontal="center"/>
    </xf>
    <xf numFmtId="0" fontId="14" fillId="0" borderId="12" xfId="0" applyFont="1" applyFill="1" applyBorder="1" applyAlignment="1">
      <alignment/>
    </xf>
    <xf numFmtId="0" fontId="3" fillId="0" borderId="0" xfId="0" applyFont="1" applyAlignment="1" quotePrefix="1">
      <alignment/>
    </xf>
    <xf numFmtId="43" fontId="3" fillId="0" borderId="0" xfId="33" applyFont="1" applyAlignment="1">
      <alignment/>
    </xf>
    <xf numFmtId="40" fontId="3" fillId="0" borderId="0" xfId="33" applyNumberFormat="1" applyFont="1" applyAlignment="1">
      <alignment/>
    </xf>
    <xf numFmtId="0" fontId="8" fillId="0" borderId="15" xfId="0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 horizontal="center"/>
    </xf>
    <xf numFmtId="4" fontId="4" fillId="0" borderId="12" xfId="33" applyNumberFormat="1" applyFont="1" applyFill="1" applyBorder="1" applyAlignment="1">
      <alignment/>
    </xf>
    <xf numFmtId="4" fontId="4" fillId="0" borderId="16" xfId="33" applyNumberFormat="1" applyFont="1" applyFill="1" applyBorder="1" applyAlignment="1">
      <alignment horizontal="center"/>
    </xf>
    <xf numFmtId="43" fontId="3" fillId="0" borderId="0" xfId="33" applyFont="1" applyFill="1" applyAlignment="1">
      <alignment/>
    </xf>
    <xf numFmtId="43" fontId="2" fillId="0" borderId="22" xfId="33" applyFont="1" applyBorder="1" applyAlignment="1">
      <alignment/>
    </xf>
    <xf numFmtId="43" fontId="2" fillId="0" borderId="22" xfId="0" applyNumberFormat="1" applyFont="1" applyBorder="1" applyAlignment="1">
      <alignment/>
    </xf>
    <xf numFmtId="43" fontId="2" fillId="0" borderId="22" xfId="0" applyNumberFormat="1" applyFont="1" applyFill="1" applyBorder="1" applyAlignment="1">
      <alignment/>
    </xf>
    <xf numFmtId="39" fontId="2" fillId="0" borderId="12" xfId="33" applyNumberFormat="1" applyFont="1" applyBorder="1" applyAlignment="1">
      <alignment horizontal="left"/>
    </xf>
    <xf numFmtId="43" fontId="4" fillId="0" borderId="12" xfId="33" applyFont="1" applyFill="1" applyBorder="1" applyAlignment="1">
      <alignment horizontal="center"/>
    </xf>
    <xf numFmtId="39" fontId="3" fillId="0" borderId="29" xfId="33" applyNumberFormat="1" applyFont="1" applyFill="1" applyBorder="1" applyAlignment="1">
      <alignment/>
    </xf>
    <xf numFmtId="39" fontId="3" fillId="0" borderId="30" xfId="33" applyNumberFormat="1" applyFont="1" applyFill="1" applyBorder="1" applyAlignment="1" quotePrefix="1">
      <alignment horizontal="right"/>
    </xf>
    <xf numFmtId="39" fontId="3" fillId="0" borderId="29" xfId="33" applyNumberFormat="1" applyFont="1" applyFill="1" applyBorder="1" applyAlignment="1" quotePrefix="1">
      <alignment horizontal="right"/>
    </xf>
    <xf numFmtId="43" fontId="9" fillId="32" borderId="23" xfId="33" applyFont="1" applyFill="1" applyBorder="1" applyAlignment="1">
      <alignment/>
    </xf>
    <xf numFmtId="43" fontId="9" fillId="32" borderId="23" xfId="0" applyNumberFormat="1" applyFont="1" applyFill="1" applyBorder="1" applyAlignment="1">
      <alignment/>
    </xf>
    <xf numFmtId="39" fontId="3" fillId="0" borderId="17" xfId="33" applyNumberFormat="1" applyFont="1" applyFill="1" applyBorder="1" applyAlignment="1">
      <alignment/>
    </xf>
    <xf numFmtId="39" fontId="3" fillId="0" borderId="0" xfId="33" applyNumberFormat="1" applyFont="1" applyFill="1" applyBorder="1" applyAlignment="1" quotePrefix="1">
      <alignment horizontal="right"/>
    </xf>
    <xf numFmtId="39" fontId="3" fillId="0" borderId="17" xfId="33" applyNumberFormat="1" applyFont="1" applyFill="1" applyBorder="1" applyAlignment="1" quotePrefix="1">
      <alignment horizontal="right"/>
    </xf>
    <xf numFmtId="0" fontId="3" fillId="0" borderId="11" xfId="0" applyFont="1" applyFill="1" applyBorder="1" applyAlignment="1" quotePrefix="1">
      <alignment vertical="center"/>
    </xf>
    <xf numFmtId="4" fontId="3" fillId="0" borderId="0" xfId="0" applyNumberFormat="1" applyFont="1" applyFill="1" applyBorder="1" applyAlignment="1">
      <alignment horizontal="right"/>
    </xf>
    <xf numFmtId="0" fontId="19" fillId="0" borderId="13" xfId="0" applyFont="1" applyFill="1" applyBorder="1" applyAlignment="1">
      <alignment vertical="center"/>
    </xf>
    <xf numFmtId="4" fontId="4" fillId="0" borderId="12" xfId="0" applyNumberFormat="1" applyFont="1" applyBorder="1" applyAlignment="1" quotePrefix="1">
      <alignment/>
    </xf>
    <xf numFmtId="0" fontId="6" fillId="0" borderId="12" xfId="0" applyFont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12" xfId="33" applyNumberFormat="1" applyFont="1" applyBorder="1" applyAlignment="1">
      <alignment horizontal="left"/>
    </xf>
    <xf numFmtId="0" fontId="3" fillId="0" borderId="31" xfId="0" applyFont="1" applyBorder="1" applyAlignment="1">
      <alignment/>
    </xf>
    <xf numFmtId="0" fontId="3" fillId="0" borderId="31" xfId="0" applyFont="1" applyBorder="1" applyAlignment="1">
      <alignment horizontal="center"/>
    </xf>
    <xf numFmtId="43" fontId="3" fillId="0" borderId="23" xfId="33" applyFont="1" applyFill="1" applyBorder="1" applyAlignment="1">
      <alignment/>
    </xf>
    <xf numFmtId="4" fontId="4" fillId="0" borderId="29" xfId="33" applyNumberFormat="1" applyFont="1" applyFill="1" applyBorder="1" applyAlignment="1">
      <alignment horizontal="center"/>
    </xf>
    <xf numFmtId="43" fontId="9" fillId="0" borderId="20" xfId="33" applyFont="1" applyBorder="1" applyAlignment="1">
      <alignment/>
    </xf>
    <xf numFmtId="43" fontId="9" fillId="0" borderId="20" xfId="0" applyNumberFormat="1" applyFont="1" applyBorder="1" applyAlignment="1">
      <alignment/>
    </xf>
    <xf numFmtId="4" fontId="12" fillId="0" borderId="29" xfId="33" applyNumberFormat="1" applyFont="1" applyFill="1" applyBorder="1" applyAlignment="1" quotePrefix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4" fontId="12" fillId="0" borderId="22" xfId="33" applyNumberFormat="1" applyFont="1" applyFill="1" applyBorder="1" applyAlignment="1" quotePrefix="1">
      <alignment horizontal="right"/>
    </xf>
    <xf numFmtId="0" fontId="4" fillId="0" borderId="28" xfId="0" applyFont="1" applyBorder="1" applyAlignment="1">
      <alignment horizontal="center"/>
    </xf>
    <xf numFmtId="39" fontId="20" fillId="0" borderId="25" xfId="33" applyNumberFormat="1" applyFont="1" applyBorder="1" applyAlignment="1">
      <alignment horizontal="left"/>
    </xf>
    <xf numFmtId="4" fontId="4" fillId="0" borderId="12" xfId="0" applyNumberFormat="1" applyFont="1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43" fontId="3" fillId="0" borderId="21" xfId="33" applyFont="1" applyBorder="1" applyAlignment="1">
      <alignment horizontal="center" vertical="center" wrapText="1"/>
    </xf>
    <xf numFmtId="43" fontId="3" fillId="0" borderId="31" xfId="33" applyFont="1" applyBorder="1" applyAlignment="1">
      <alignment horizontal="center"/>
    </xf>
    <xf numFmtId="43" fontId="3" fillId="0" borderId="21" xfId="33" applyFont="1" applyFill="1" applyBorder="1" applyAlignment="1">
      <alignment horizontal="center" vertical="center" wrapText="1"/>
    </xf>
    <xf numFmtId="40" fontId="3" fillId="0" borderId="31" xfId="33" applyNumberFormat="1" applyFont="1" applyBorder="1" applyAlignment="1">
      <alignment horizontal="center"/>
    </xf>
    <xf numFmtId="43" fontId="3" fillId="0" borderId="31" xfId="33" applyFont="1" applyFill="1" applyBorder="1" applyAlignment="1">
      <alignment horizontal="center"/>
    </xf>
    <xf numFmtId="43" fontId="3" fillId="0" borderId="17" xfId="33" applyFont="1" applyFill="1" applyBorder="1" applyAlignment="1">
      <alignment wrapText="1"/>
    </xf>
    <xf numFmtId="43" fontId="21" fillId="0" borderId="21" xfId="33" applyFont="1" applyFill="1" applyBorder="1" applyAlignment="1">
      <alignment horizontal="center"/>
    </xf>
    <xf numFmtId="40" fontId="3" fillId="0" borderId="23" xfId="33" applyNumberFormat="1" applyFont="1" applyBorder="1" applyAlignment="1">
      <alignment/>
    </xf>
    <xf numFmtId="0" fontId="3" fillId="0" borderId="23" xfId="0" applyFont="1" applyBorder="1" applyAlignment="1">
      <alignment horizontal="left"/>
    </xf>
    <xf numFmtId="43" fontId="3" fillId="0" borderId="23" xfId="33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3" fillId="0" borderId="32" xfId="0" applyFont="1" applyBorder="1" applyAlignment="1">
      <alignment/>
    </xf>
    <xf numFmtId="0" fontId="3" fillId="4" borderId="0" xfId="0" applyFont="1" applyFill="1" applyAlignment="1" quotePrefix="1">
      <alignment horizontal="center"/>
    </xf>
    <xf numFmtId="43" fontId="3" fillId="4" borderId="0" xfId="33" applyFont="1" applyFill="1" applyAlignment="1">
      <alignment/>
    </xf>
    <xf numFmtId="43" fontId="3" fillId="0" borderId="0" xfId="33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3" fillId="0" borderId="32" xfId="0" applyFont="1" applyBorder="1" applyAlignment="1">
      <alignment horizontal="center"/>
    </xf>
    <xf numFmtId="1" fontId="4" fillId="0" borderId="13" xfId="0" applyNumberFormat="1" applyFont="1" applyBorder="1" applyAlignment="1" quotePrefix="1">
      <alignment horizontal="center"/>
    </xf>
    <xf numFmtId="39" fontId="3" fillId="0" borderId="0" xfId="33" applyNumberFormat="1" applyFont="1" applyFill="1" applyBorder="1" applyAlignment="1">
      <alignment horizontal="right"/>
    </xf>
    <xf numFmtId="4" fontId="4" fillId="0" borderId="18" xfId="0" applyNumberFormat="1" applyFont="1" applyBorder="1" applyAlignment="1">
      <alignment/>
    </xf>
    <xf numFmtId="39" fontId="20" fillId="0" borderId="20" xfId="33" applyNumberFormat="1" applyFont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33" borderId="0" xfId="0" applyFont="1" applyFill="1" applyAlignment="1" quotePrefix="1">
      <alignment horizontal="center"/>
    </xf>
    <xf numFmtId="43" fontId="3" fillId="33" borderId="0" xfId="33" applyFont="1" applyFill="1" applyAlignment="1">
      <alignment/>
    </xf>
    <xf numFmtId="0" fontId="5" fillId="5" borderId="0" xfId="0" applyFont="1" applyFill="1" applyAlignment="1">
      <alignment horizontal="center"/>
    </xf>
    <xf numFmtId="43" fontId="3" fillId="5" borderId="0" xfId="33" applyFont="1" applyFill="1" applyAlignment="1">
      <alignment/>
    </xf>
    <xf numFmtId="0" fontId="3" fillId="0" borderId="18" xfId="0" applyFont="1" applyBorder="1" applyAlignment="1">
      <alignment/>
    </xf>
    <xf numFmtId="43" fontId="5" fillId="0" borderId="33" xfId="0" applyNumberFormat="1" applyFont="1" applyFill="1" applyBorder="1" applyAlignment="1">
      <alignment/>
    </xf>
    <xf numFmtId="4" fontId="13" fillId="0" borderId="33" xfId="33" applyNumberFormat="1" applyFont="1" applyFill="1" applyBorder="1" applyAlignment="1">
      <alignment horizontal="center"/>
    </xf>
    <xf numFmtId="194" fontId="3" fillId="0" borderId="0" xfId="0" applyNumberFormat="1" applyFont="1" applyAlignment="1">
      <alignment horizontal="center"/>
    </xf>
    <xf numFmtId="0" fontId="5" fillId="4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8" fillId="0" borderId="32" xfId="0" applyFont="1" applyBorder="1" applyAlignment="1">
      <alignment/>
    </xf>
    <xf numFmtId="4" fontId="3" fillId="0" borderId="20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34" xfId="0" applyFont="1" applyBorder="1" applyAlignment="1">
      <alignment/>
    </xf>
    <xf numFmtId="0" fontId="3" fillId="0" borderId="12" xfId="0" applyFont="1" applyFill="1" applyBorder="1" applyAlignment="1" quotePrefix="1">
      <alignment vertical="center"/>
    </xf>
    <xf numFmtId="43" fontId="3" fillId="0" borderId="0" xfId="0" applyNumberFormat="1" applyFont="1" applyFill="1" applyAlignment="1">
      <alignment horizontal="center"/>
    </xf>
    <xf numFmtId="194" fontId="3" fillId="34" borderId="0" xfId="0" applyNumberFormat="1" applyFont="1" applyFill="1" applyAlignment="1">
      <alignment horizontal="center"/>
    </xf>
    <xf numFmtId="43" fontId="3" fillId="34" borderId="0" xfId="0" applyNumberFormat="1" applyFont="1" applyFill="1" applyAlignment="1">
      <alignment horizontal="center"/>
    </xf>
    <xf numFmtId="43" fontId="22" fillId="0" borderId="0" xfId="0" applyNumberFormat="1" applyFont="1" applyAlignment="1">
      <alignment horizontal="center"/>
    </xf>
    <xf numFmtId="194" fontId="3" fillId="32" borderId="0" xfId="0" applyNumberFormat="1" applyFont="1" applyFill="1" applyAlignment="1">
      <alignment horizontal="center"/>
    </xf>
    <xf numFmtId="194" fontId="3" fillId="0" borderId="0" xfId="0" applyNumberFormat="1" applyFont="1" applyFill="1" applyAlignment="1">
      <alignment horizontal="center"/>
    </xf>
    <xf numFmtId="0" fontId="3" fillId="0" borderId="22" xfId="0" applyFont="1" applyBorder="1" applyAlignment="1">
      <alignment/>
    </xf>
    <xf numFmtId="194" fontId="9" fillId="0" borderId="21" xfId="0" applyNumberFormat="1" applyFont="1" applyBorder="1" applyAlignment="1">
      <alignment/>
    </xf>
    <xf numFmtId="1" fontId="4" fillId="0" borderId="26" xfId="0" applyNumberFormat="1" applyFont="1" applyBorder="1" applyAlignment="1" quotePrefix="1">
      <alignment horizontal="center"/>
    </xf>
    <xf numFmtId="39" fontId="23" fillId="0" borderId="25" xfId="33" applyNumberFormat="1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43" fontId="3" fillId="0" borderId="17" xfId="33" applyFont="1" applyFill="1" applyBorder="1" applyAlignment="1">
      <alignment horizontal="center"/>
    </xf>
    <xf numFmtId="43" fontId="3" fillId="0" borderId="0" xfId="33" applyFont="1" applyFill="1" applyBorder="1" applyAlignment="1">
      <alignment horizontal="center"/>
    </xf>
    <xf numFmtId="43" fontId="3" fillId="0" borderId="30" xfId="33" applyFont="1" applyFill="1" applyBorder="1" applyAlignment="1">
      <alignment horizontal="center"/>
    </xf>
    <xf numFmtId="39" fontId="3" fillId="0" borderId="13" xfId="33" applyNumberFormat="1" applyFont="1" applyFill="1" applyBorder="1" applyAlignment="1" quotePrefix="1">
      <alignment horizontal="right"/>
    </xf>
    <xf numFmtId="4" fontId="13" fillId="0" borderId="33" xfId="33" applyNumberFormat="1" applyFont="1" applyBorder="1" applyAlignment="1">
      <alignment horizontal="center"/>
    </xf>
    <xf numFmtId="0" fontId="4" fillId="0" borderId="13" xfId="0" applyNumberFormat="1" applyFont="1" applyBorder="1" applyAlignment="1" quotePrefix="1">
      <alignment/>
    </xf>
    <xf numFmtId="0" fontId="1" fillId="0" borderId="25" xfId="0" applyFont="1" applyBorder="1" applyAlignment="1">
      <alignment/>
    </xf>
    <xf numFmtId="4" fontId="3" fillId="0" borderId="35" xfId="0" applyNumberFormat="1" applyFont="1" applyFill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3" fontId="3" fillId="0" borderId="25" xfId="33" applyFont="1" applyFill="1" applyBorder="1" applyAlignment="1">
      <alignment horizontal="center"/>
    </xf>
    <xf numFmtId="4" fontId="12" fillId="0" borderId="12" xfId="33" applyNumberFormat="1" applyFont="1" applyFill="1" applyBorder="1" applyAlignment="1" quotePrefix="1">
      <alignment horizontal="right"/>
    </xf>
    <xf numFmtId="39" fontId="9" fillId="0" borderId="25" xfId="33" applyNumberFormat="1" applyFont="1" applyBorder="1" applyAlignment="1">
      <alignment horizontal="left"/>
    </xf>
    <xf numFmtId="43" fontId="3" fillId="0" borderId="19" xfId="33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32" xfId="0" applyFont="1" applyBorder="1" applyAlignment="1" quotePrefix="1">
      <alignment horizontal="center"/>
    </xf>
    <xf numFmtId="0" fontId="4" fillId="0" borderId="27" xfId="0" applyFont="1" applyBorder="1" applyAlignment="1">
      <alignment horizontal="center"/>
    </xf>
    <xf numFmtId="1" fontId="4" fillId="0" borderId="32" xfId="0" applyNumberFormat="1" applyFont="1" applyBorder="1" applyAlignment="1" quotePrefix="1">
      <alignment horizontal="center"/>
    </xf>
    <xf numFmtId="4" fontId="4" fillId="0" borderId="22" xfId="0" applyNumberFormat="1" applyFont="1" applyBorder="1" applyAlignment="1">
      <alignment/>
    </xf>
    <xf numFmtId="0" fontId="4" fillId="0" borderId="32" xfId="0" applyNumberFormat="1" applyFont="1" applyBorder="1" applyAlignment="1" quotePrefix="1">
      <alignment horizontal="center"/>
    </xf>
    <xf numFmtId="39" fontId="2" fillId="0" borderId="22" xfId="33" applyNumberFormat="1" applyFont="1" applyBorder="1" applyAlignment="1">
      <alignment horizontal="left"/>
    </xf>
    <xf numFmtId="39" fontId="3" fillId="0" borderId="31" xfId="33" applyNumberFormat="1" applyFont="1" applyFill="1" applyBorder="1" applyAlignment="1">
      <alignment/>
    </xf>
    <xf numFmtId="39" fontId="3" fillId="0" borderId="36" xfId="33" applyNumberFormat="1" applyFont="1" applyFill="1" applyBorder="1" applyAlignment="1" quotePrefix="1">
      <alignment horizontal="right"/>
    </xf>
    <xf numFmtId="39" fontId="3" fillId="0" borderId="31" xfId="33" applyNumberFormat="1" applyFont="1" applyFill="1" applyBorder="1" applyAlignment="1" quotePrefix="1">
      <alignment horizontal="right"/>
    </xf>
    <xf numFmtId="4" fontId="4" fillId="0" borderId="31" xfId="33" applyNumberFormat="1" applyFont="1" applyFill="1" applyBorder="1" applyAlignment="1" quotePrefix="1">
      <alignment horizontal="right"/>
    </xf>
    <xf numFmtId="4" fontId="4" fillId="0" borderId="31" xfId="33" applyNumberFormat="1" applyFont="1" applyFill="1" applyBorder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39" fontId="2" fillId="0" borderId="20" xfId="33" applyNumberFormat="1" applyFont="1" applyBorder="1" applyAlignment="1">
      <alignment horizontal="left"/>
    </xf>
    <xf numFmtId="43" fontId="3" fillId="32" borderId="33" xfId="33" applyFont="1" applyFill="1" applyBorder="1" applyAlignment="1">
      <alignment horizontal="center"/>
    </xf>
    <xf numFmtId="43" fontId="3" fillId="0" borderId="33" xfId="33" applyFont="1" applyFill="1" applyBorder="1" applyAlignment="1">
      <alignment horizontal="center"/>
    </xf>
    <xf numFmtId="4" fontId="4" fillId="0" borderId="33" xfId="33" applyNumberFormat="1" applyFont="1" applyFill="1" applyBorder="1" applyAlignment="1">
      <alignment horizontal="center"/>
    </xf>
    <xf numFmtId="43" fontId="3" fillId="0" borderId="28" xfId="33" applyFont="1" applyFill="1" applyBorder="1" applyAlignment="1">
      <alignment horizontal="center"/>
    </xf>
    <xf numFmtId="39" fontId="26" fillId="0" borderId="25" xfId="33" applyNumberFormat="1" applyFont="1" applyBorder="1" applyAlignment="1">
      <alignment horizontal="left"/>
    </xf>
    <xf numFmtId="39" fontId="20" fillId="0" borderId="12" xfId="33" applyNumberFormat="1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4" fontId="3" fillId="32" borderId="33" xfId="0" applyNumberFormat="1" applyFont="1" applyFill="1" applyBorder="1" applyAlignment="1">
      <alignment horizontal="right"/>
    </xf>
    <xf numFmtId="4" fontId="3" fillId="0" borderId="33" xfId="0" applyNumberFormat="1" applyFont="1" applyFill="1" applyBorder="1" applyAlignment="1">
      <alignment horizontal="right"/>
    </xf>
    <xf numFmtId="4" fontId="4" fillId="0" borderId="33" xfId="33" applyNumberFormat="1" applyFont="1" applyFill="1" applyBorder="1" applyAlignment="1">
      <alignment horizontal="center"/>
    </xf>
    <xf numFmtId="0" fontId="15" fillId="0" borderId="32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22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35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1" fontId="4" fillId="0" borderId="35" xfId="0" applyNumberFormat="1" applyFont="1" applyBorder="1" applyAlignment="1" quotePrefix="1">
      <alignment horizontal="center"/>
    </xf>
    <xf numFmtId="4" fontId="4" fillId="0" borderId="35" xfId="0" applyNumberFormat="1" applyFont="1" applyBorder="1" applyAlignment="1">
      <alignment/>
    </xf>
    <xf numFmtId="0" fontId="4" fillId="0" borderId="35" xfId="0" applyNumberFormat="1" applyFont="1" applyBorder="1" applyAlignment="1" quotePrefix="1">
      <alignment horizontal="center"/>
    </xf>
    <xf numFmtId="39" fontId="2" fillId="0" borderId="17" xfId="33" applyNumberFormat="1" applyFont="1" applyBorder="1" applyAlignment="1">
      <alignment horizontal="left"/>
    </xf>
    <xf numFmtId="4" fontId="4" fillId="0" borderId="32" xfId="0" applyNumberFormat="1" applyFont="1" applyBorder="1" applyAlignment="1">
      <alignment/>
    </xf>
    <xf numFmtId="39" fontId="3" fillId="0" borderId="37" xfId="33" applyNumberFormat="1" applyFont="1" applyFill="1" applyBorder="1" applyAlignment="1">
      <alignment/>
    </xf>
    <xf numFmtId="39" fontId="3" fillId="0" borderId="37" xfId="33" applyNumberFormat="1" applyFont="1" applyFill="1" applyBorder="1" applyAlignment="1" quotePrefix="1">
      <alignment horizontal="right"/>
    </xf>
    <xf numFmtId="4" fontId="4" fillId="0" borderId="37" xfId="33" applyNumberFormat="1" applyFont="1" applyFill="1" applyBorder="1" applyAlignment="1" quotePrefix="1">
      <alignment horizontal="right"/>
    </xf>
    <xf numFmtId="4" fontId="4" fillId="0" borderId="37" xfId="33" applyNumberFormat="1" applyFont="1" applyFill="1" applyBorder="1" applyAlignment="1">
      <alignment horizontal="center"/>
    </xf>
    <xf numFmtId="4" fontId="4" fillId="0" borderId="11" xfId="0" applyNumberFormat="1" applyFont="1" applyBorder="1" applyAlignment="1">
      <alignment/>
    </xf>
    <xf numFmtId="39" fontId="23" fillId="0" borderId="22" xfId="33" applyNumberFormat="1" applyFont="1" applyBorder="1" applyAlignment="1">
      <alignment horizontal="left"/>
    </xf>
    <xf numFmtId="39" fontId="23" fillId="0" borderId="17" xfId="33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3" fontId="3" fillId="0" borderId="21" xfId="33" applyFont="1" applyFill="1" applyBorder="1" applyAlignment="1">
      <alignment horizontal="center" vertical="center"/>
    </xf>
    <xf numFmtId="43" fontId="3" fillId="0" borderId="17" xfId="33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3" fontId="3" fillId="0" borderId="21" xfId="33" applyFont="1" applyFill="1" applyBorder="1" applyAlignment="1">
      <alignment horizontal="center" vertical="center" wrapText="1"/>
    </xf>
    <xf numFmtId="43" fontId="3" fillId="0" borderId="17" xfId="33" applyFont="1" applyFill="1" applyBorder="1" applyAlignment="1">
      <alignment horizontal="center" vertical="center" wrapText="1"/>
    </xf>
    <xf numFmtId="43" fontId="3" fillId="0" borderId="24" xfId="33" applyFont="1" applyFill="1" applyBorder="1" applyAlignment="1">
      <alignment horizontal="center" vertical="center"/>
    </xf>
    <xf numFmtId="43" fontId="3" fillId="0" borderId="39" xfId="33" applyFont="1" applyFill="1" applyBorder="1" applyAlignment="1">
      <alignment horizontal="center" vertical="center"/>
    </xf>
    <xf numFmtId="43" fontId="3" fillId="0" borderId="38" xfId="33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/>
    </xf>
    <xf numFmtId="43" fontId="2" fillId="0" borderId="20" xfId="33" applyFont="1" applyBorder="1" applyAlignment="1">
      <alignment/>
    </xf>
    <xf numFmtId="43" fontId="2" fillId="0" borderId="20" xfId="0" applyNumberFormat="1" applyFont="1" applyBorder="1" applyAlignment="1">
      <alignment/>
    </xf>
    <xf numFmtId="43" fontId="2" fillId="0" borderId="20" xfId="0" applyNumberFormat="1" applyFont="1" applyFill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157"/>
  <sheetViews>
    <sheetView zoomScalePageLayoutView="0" workbookViewId="0" topLeftCell="A1">
      <selection activeCell="G7" sqref="G7"/>
    </sheetView>
  </sheetViews>
  <sheetFormatPr defaultColWidth="9.140625" defaultRowHeight="21.75" customHeight="1"/>
  <cols>
    <col min="1" max="1" width="4.8515625" style="3" customWidth="1"/>
    <col min="2" max="2" width="5.7109375" style="3" customWidth="1"/>
    <col min="3" max="3" width="4.7109375" style="3" customWidth="1"/>
    <col min="4" max="4" width="17.28125" style="3" customWidth="1"/>
    <col min="5" max="5" width="15.140625" style="3" customWidth="1"/>
    <col min="6" max="6" width="9.7109375" style="3" customWidth="1"/>
    <col min="7" max="7" width="51.140625" style="2" customWidth="1"/>
    <col min="8" max="8" width="15.421875" style="51" customWidth="1"/>
    <col min="9" max="9" width="15.7109375" style="51" customWidth="1"/>
    <col min="10" max="10" width="14.7109375" style="51" customWidth="1"/>
    <col min="11" max="11" width="13.7109375" style="51" customWidth="1"/>
    <col min="12" max="12" width="14.57421875" style="51" customWidth="1"/>
    <col min="13" max="13" width="12.140625" style="51" customWidth="1"/>
    <col min="14" max="15" width="9.140625" style="51" customWidth="1"/>
    <col min="16" max="16384" width="9.140625" style="3" customWidth="1"/>
  </cols>
  <sheetData>
    <row r="1" spans="1:15" ht="24.75" customHeight="1">
      <c r="A1" s="285" t="s">
        <v>146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3"/>
      <c r="O1" s="3"/>
    </row>
    <row r="2" spans="1:13" ht="24" customHeight="1">
      <c r="A2" s="285" t="s">
        <v>275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</row>
    <row r="4" spans="1:13" ht="45" customHeight="1">
      <c r="A4" s="43" t="s">
        <v>24</v>
      </c>
      <c r="B4" s="287" t="s">
        <v>4</v>
      </c>
      <c r="C4" s="288"/>
      <c r="D4" s="44" t="s">
        <v>6</v>
      </c>
      <c r="E4" s="44" t="s">
        <v>22</v>
      </c>
      <c r="F4" s="44" t="s">
        <v>23</v>
      </c>
      <c r="G4" s="45" t="s">
        <v>11</v>
      </c>
      <c r="H4" s="52" t="s">
        <v>7</v>
      </c>
      <c r="I4" s="61" t="s">
        <v>8</v>
      </c>
      <c r="J4" s="70" t="s">
        <v>21</v>
      </c>
      <c r="K4" s="70" t="s">
        <v>30</v>
      </c>
      <c r="L4" s="52" t="s">
        <v>9</v>
      </c>
      <c r="M4" s="52" t="s">
        <v>10</v>
      </c>
    </row>
    <row r="5" spans="1:13" ht="24" customHeight="1" thickBot="1">
      <c r="A5" s="140" t="s">
        <v>26</v>
      </c>
      <c r="B5" s="23"/>
      <c r="C5" s="5"/>
      <c r="D5" s="14"/>
      <c r="E5" s="14"/>
      <c r="F5" s="14"/>
      <c r="G5" s="15"/>
      <c r="H5" s="53">
        <f>+H7</f>
        <v>15872137.8</v>
      </c>
      <c r="I5" s="53">
        <f>+I7</f>
        <v>14073033.620000003</v>
      </c>
      <c r="J5" s="53">
        <f>+J7</f>
        <v>1792054.79</v>
      </c>
      <c r="K5" s="53">
        <f>+K7</f>
        <v>0</v>
      </c>
      <c r="L5" s="53">
        <f>+L7</f>
        <v>7049.389999997336</v>
      </c>
      <c r="M5" s="76">
        <f>I5/H5*100</f>
        <v>88.665016630589</v>
      </c>
    </row>
    <row r="6" spans="1:13" s="1" customFormat="1" ht="23.25" customHeight="1" thickTop="1">
      <c r="A6" s="26"/>
      <c r="B6" s="90"/>
      <c r="C6" s="6"/>
      <c r="D6" s="39"/>
      <c r="E6" s="142"/>
      <c r="F6" s="11"/>
      <c r="G6" s="25"/>
      <c r="H6" s="57"/>
      <c r="I6" s="63"/>
      <c r="J6" s="57"/>
      <c r="K6" s="57"/>
      <c r="L6" s="150"/>
      <c r="M6" s="79"/>
    </row>
    <row r="7" spans="1:13" ht="21.75" customHeight="1" thickBot="1">
      <c r="A7" s="26"/>
      <c r="B7" s="132"/>
      <c r="C7" s="133"/>
      <c r="D7" s="161" t="s">
        <v>35</v>
      </c>
      <c r="E7" s="159"/>
      <c r="F7" s="135"/>
      <c r="G7" s="136"/>
      <c r="H7" s="60">
        <f>+H9+H19+H27</f>
        <v>15872137.8</v>
      </c>
      <c r="I7" s="60">
        <f>+I9+I19+I27</f>
        <v>14073033.620000003</v>
      </c>
      <c r="J7" s="60">
        <f>+J9+J19+J27</f>
        <v>1792054.79</v>
      </c>
      <c r="K7" s="60">
        <f>+K9+K19+K27</f>
        <v>0</v>
      </c>
      <c r="L7" s="60">
        <f>+L9+L19+L27</f>
        <v>7049.389999997336</v>
      </c>
      <c r="M7" s="76">
        <f>I7/H7*100</f>
        <v>88.665016630589</v>
      </c>
    </row>
    <row r="8" spans="1:13" ht="21.75" customHeight="1" thickBot="1" thickTop="1">
      <c r="A8" s="26"/>
      <c r="B8" s="132"/>
      <c r="C8" s="133"/>
      <c r="D8" s="161"/>
      <c r="E8" s="217"/>
      <c r="F8" s="135"/>
      <c r="G8" s="136"/>
      <c r="H8" s="60"/>
      <c r="I8" s="60"/>
      <c r="J8" s="60"/>
      <c r="K8" s="60"/>
      <c r="L8" s="60"/>
      <c r="M8" s="76"/>
    </row>
    <row r="9" spans="1:15" ht="21.75" customHeight="1" thickBot="1" thickTop="1">
      <c r="A9" s="8"/>
      <c r="B9" s="11"/>
      <c r="C9" s="6"/>
      <c r="D9" s="24" t="s">
        <v>128</v>
      </c>
      <c r="E9" s="163" t="s">
        <v>131</v>
      </c>
      <c r="F9" s="13"/>
      <c r="G9" s="16"/>
      <c r="H9" s="53">
        <f>+H11</f>
        <v>1846024.8</v>
      </c>
      <c r="I9" s="53">
        <f>+I11</f>
        <v>1843574.8</v>
      </c>
      <c r="J9" s="53">
        <f>+J11</f>
        <v>0</v>
      </c>
      <c r="K9" s="53">
        <f>+K11</f>
        <v>0</v>
      </c>
      <c r="L9" s="53">
        <f>+L11</f>
        <v>2450</v>
      </c>
      <c r="M9" s="76">
        <f>I9/H9*100</f>
        <v>99.86728238970571</v>
      </c>
      <c r="N9" s="3"/>
      <c r="O9" s="3"/>
    </row>
    <row r="10" spans="1:13" ht="21.75" customHeight="1" thickBot="1" thickTop="1">
      <c r="A10" s="26"/>
      <c r="B10" s="132"/>
      <c r="C10" s="133"/>
      <c r="D10" s="161"/>
      <c r="E10" s="217"/>
      <c r="F10" s="135"/>
      <c r="G10" s="136"/>
      <c r="H10" s="60"/>
      <c r="I10" s="60"/>
      <c r="J10" s="60"/>
      <c r="K10" s="60"/>
      <c r="L10" s="60"/>
      <c r="M10" s="76"/>
    </row>
    <row r="11" spans="1:15" ht="21.75" customHeight="1" thickBot="1" thickTop="1">
      <c r="A11" s="41" t="s">
        <v>12</v>
      </c>
      <c r="B11" s="37"/>
      <c r="C11" s="38"/>
      <c r="D11" s="13"/>
      <c r="E11" s="13"/>
      <c r="F11" s="13"/>
      <c r="G11" s="110"/>
      <c r="H11" s="105">
        <f>+H13+H16</f>
        <v>1846024.8</v>
      </c>
      <c r="I11" s="105">
        <f>+I13+I16</f>
        <v>1843574.8</v>
      </c>
      <c r="J11" s="55">
        <f>+J13+J16</f>
        <v>0</v>
      </c>
      <c r="K11" s="55">
        <f>+K13+K16</f>
        <v>0</v>
      </c>
      <c r="L11" s="55">
        <f>+L13+L16</f>
        <v>2450</v>
      </c>
      <c r="M11" s="77">
        <f>I11/H11*100</f>
        <v>99.86728238970571</v>
      </c>
      <c r="N11" s="3"/>
      <c r="O11" s="3"/>
    </row>
    <row r="12" spans="1:13" ht="21.75" customHeight="1" thickBot="1" thickTop="1">
      <c r="A12" s="26"/>
      <c r="B12" s="132"/>
      <c r="C12" s="133"/>
      <c r="D12" s="161"/>
      <c r="E12" s="134"/>
      <c r="F12" s="135"/>
      <c r="G12" s="136"/>
      <c r="H12" s="60"/>
      <c r="I12" s="60"/>
      <c r="J12" s="60"/>
      <c r="K12" s="60"/>
      <c r="L12" s="60"/>
      <c r="M12" s="76"/>
    </row>
    <row r="13" spans="1:13" s="1" customFormat="1" ht="23.25" customHeight="1" thickBot="1" thickTop="1">
      <c r="A13" s="48"/>
      <c r="B13" s="12"/>
      <c r="C13" s="6"/>
      <c r="D13" s="97" t="s">
        <v>139</v>
      </c>
      <c r="E13" s="18"/>
      <c r="F13" s="18"/>
      <c r="G13" s="25"/>
      <c r="H13" s="106">
        <f>+H14</f>
        <v>1790224.8</v>
      </c>
      <c r="I13" s="106">
        <f>+I14</f>
        <v>1790224.8</v>
      </c>
      <c r="J13" s="60">
        <f>+J14</f>
        <v>0</v>
      </c>
      <c r="K13" s="60">
        <f>+K14</f>
        <v>0</v>
      </c>
      <c r="L13" s="60">
        <f>+L14</f>
        <v>0</v>
      </c>
      <c r="M13" s="144">
        <f>I13/H13*100</f>
        <v>100</v>
      </c>
    </row>
    <row r="14" spans="1:15" ht="21.75" customHeight="1" thickTop="1">
      <c r="A14" s="26">
        <v>1</v>
      </c>
      <c r="B14" s="12">
        <v>22701</v>
      </c>
      <c r="C14" s="7">
        <v>600</v>
      </c>
      <c r="D14" s="198" t="s">
        <v>140</v>
      </c>
      <c r="E14" s="141" t="s">
        <v>127</v>
      </c>
      <c r="F14" s="47">
        <v>5511320</v>
      </c>
      <c r="G14" s="149" t="s">
        <v>175</v>
      </c>
      <c r="H14" s="151">
        <v>1790224.8</v>
      </c>
      <c r="I14" s="152">
        <v>1790224.8</v>
      </c>
      <c r="J14" s="153"/>
      <c r="K14" s="130"/>
      <c r="L14" s="130">
        <f>+H14-I14-J14-K14</f>
        <v>0</v>
      </c>
      <c r="M14" s="169">
        <f>I14/H14*100</f>
        <v>100</v>
      </c>
      <c r="N14" s="3"/>
      <c r="O14" s="3"/>
    </row>
    <row r="15" spans="1:15" ht="21.75" customHeight="1">
      <c r="A15" s="26"/>
      <c r="B15" s="12"/>
      <c r="C15" s="7"/>
      <c r="D15" s="198"/>
      <c r="E15" s="141"/>
      <c r="F15" s="47"/>
      <c r="G15" s="149"/>
      <c r="H15" s="156"/>
      <c r="I15" s="157"/>
      <c r="J15" s="158"/>
      <c r="K15" s="75"/>
      <c r="L15" s="75"/>
      <c r="M15" s="82"/>
      <c r="N15" s="3"/>
      <c r="O15" s="3"/>
    </row>
    <row r="16" spans="1:13" s="1" customFormat="1" ht="23.25" customHeight="1" thickBot="1">
      <c r="A16" s="48"/>
      <c r="B16" s="12"/>
      <c r="C16" s="6"/>
      <c r="D16" s="97" t="s">
        <v>141</v>
      </c>
      <c r="E16" s="18"/>
      <c r="F16" s="18"/>
      <c r="G16" s="25"/>
      <c r="H16" s="106">
        <f>+H17</f>
        <v>55800</v>
      </c>
      <c r="I16" s="106">
        <f>+I17</f>
        <v>53350</v>
      </c>
      <c r="J16" s="60">
        <f>+J17</f>
        <v>0</v>
      </c>
      <c r="K16" s="60">
        <f>+K17</f>
        <v>0</v>
      </c>
      <c r="L16" s="60">
        <f>+L17</f>
        <v>2450</v>
      </c>
      <c r="M16" s="144">
        <f>I16/H16*100</f>
        <v>95.60931899641577</v>
      </c>
    </row>
    <row r="17" spans="1:15" ht="21.75" customHeight="1" thickTop="1">
      <c r="A17" s="26">
        <v>1</v>
      </c>
      <c r="B17" s="12">
        <v>22701</v>
      </c>
      <c r="C17" s="7">
        <v>600</v>
      </c>
      <c r="D17" s="198" t="s">
        <v>142</v>
      </c>
      <c r="E17" s="141" t="s">
        <v>127</v>
      </c>
      <c r="F17" s="47">
        <v>5511320</v>
      </c>
      <c r="G17" s="149" t="s">
        <v>178</v>
      </c>
      <c r="H17" s="151">
        <v>55800</v>
      </c>
      <c r="I17" s="152">
        <f>22150+31200</f>
        <v>53350</v>
      </c>
      <c r="J17" s="153"/>
      <c r="K17" s="130"/>
      <c r="L17" s="130">
        <f>+H17-I17-J17-K17</f>
        <v>2450</v>
      </c>
      <c r="M17" s="169">
        <f>I17/H17*100</f>
        <v>95.60931899641577</v>
      </c>
      <c r="N17" s="3"/>
      <c r="O17" s="3"/>
    </row>
    <row r="18" spans="1:13" s="4" customFormat="1" ht="21.75" customHeight="1">
      <c r="A18" s="111"/>
      <c r="B18" s="12"/>
      <c r="C18" s="7"/>
      <c r="D18" s="39"/>
      <c r="E18" s="141"/>
      <c r="F18" s="47"/>
      <c r="G18" s="149"/>
      <c r="H18" s="94"/>
      <c r="I18" s="95"/>
      <c r="J18" s="74"/>
      <c r="K18" s="74"/>
      <c r="L18" s="74"/>
      <c r="M18" s="80"/>
    </row>
    <row r="19" spans="1:15" ht="21.75" customHeight="1" thickBot="1">
      <c r="A19" s="8"/>
      <c r="B19" s="24" t="s">
        <v>129</v>
      </c>
      <c r="C19" s="6"/>
      <c r="D19" s="24"/>
      <c r="E19" s="10"/>
      <c r="F19" s="13"/>
      <c r="G19" s="16"/>
      <c r="H19" s="208">
        <f>+H21</f>
        <v>5372113</v>
      </c>
      <c r="I19" s="208">
        <f>+I21</f>
        <v>3579552.2500000005</v>
      </c>
      <c r="J19" s="208">
        <f>+J21</f>
        <v>1792054.79</v>
      </c>
      <c r="K19" s="208">
        <f>+K21</f>
        <v>0</v>
      </c>
      <c r="L19" s="208">
        <f>+L21</f>
        <v>505.9599999994971</v>
      </c>
      <c r="M19" s="233">
        <f>I19/H19*100</f>
        <v>66.63211012128748</v>
      </c>
      <c r="N19" s="3"/>
      <c r="O19" s="3"/>
    </row>
    <row r="20" spans="1:13" s="4" customFormat="1" ht="21.75" customHeight="1" thickTop="1">
      <c r="A20" s="111"/>
      <c r="B20" s="12"/>
      <c r="C20" s="7"/>
      <c r="D20" s="39"/>
      <c r="E20" s="141"/>
      <c r="F20" s="47"/>
      <c r="G20" s="149"/>
      <c r="H20" s="103"/>
      <c r="I20" s="104"/>
      <c r="J20" s="75"/>
      <c r="K20" s="75"/>
      <c r="L20" s="75"/>
      <c r="M20" s="82"/>
    </row>
    <row r="21" spans="1:15" ht="21.75" customHeight="1" thickBot="1">
      <c r="A21" s="41" t="s">
        <v>12</v>
      </c>
      <c r="B21" s="37"/>
      <c r="C21" s="38"/>
      <c r="D21" s="13"/>
      <c r="E21" s="13"/>
      <c r="F21" s="13"/>
      <c r="G21" s="110"/>
      <c r="H21" s="105">
        <f>+H23</f>
        <v>5372113</v>
      </c>
      <c r="I21" s="105">
        <f>+I23</f>
        <v>3579552.2500000005</v>
      </c>
      <c r="J21" s="55">
        <f>+J23</f>
        <v>1792054.79</v>
      </c>
      <c r="K21" s="55">
        <f>+K23</f>
        <v>0</v>
      </c>
      <c r="L21" s="55">
        <f>+L23</f>
        <v>505.9599999994971</v>
      </c>
      <c r="M21" s="77">
        <f>I21/H21*100</f>
        <v>66.63211012128748</v>
      </c>
      <c r="N21" s="3"/>
      <c r="O21" s="3"/>
    </row>
    <row r="22" spans="1:13" s="4" customFormat="1" ht="21.75" customHeight="1" thickTop="1">
      <c r="A22" s="111"/>
      <c r="B22" s="12"/>
      <c r="C22" s="7"/>
      <c r="D22" s="39"/>
      <c r="E22" s="141"/>
      <c r="F22" s="47"/>
      <c r="G22" s="149"/>
      <c r="H22" s="103"/>
      <c r="I22" s="104"/>
      <c r="J22" s="75"/>
      <c r="K22" s="75"/>
      <c r="L22" s="75"/>
      <c r="M22" s="82"/>
    </row>
    <row r="23" spans="1:13" s="1" customFormat="1" ht="23.25" customHeight="1" thickBot="1">
      <c r="A23" s="48"/>
      <c r="B23" s="12"/>
      <c r="C23" s="6"/>
      <c r="D23" s="97" t="s">
        <v>133</v>
      </c>
      <c r="E23" s="18"/>
      <c r="F23" s="18"/>
      <c r="G23" s="25" t="s">
        <v>233</v>
      </c>
      <c r="H23" s="106">
        <f>SUM(H24:H25)</f>
        <v>5372113</v>
      </c>
      <c r="I23" s="106">
        <f>SUM(I24:I25)</f>
        <v>3579552.2500000005</v>
      </c>
      <c r="J23" s="60">
        <f>SUM(J24:J25)</f>
        <v>1792054.79</v>
      </c>
      <c r="K23" s="60">
        <f>SUM(K24:K25)</f>
        <v>0</v>
      </c>
      <c r="L23" s="60">
        <f>+H23-I23-J23</f>
        <v>505.9599999994971</v>
      </c>
      <c r="M23" s="144">
        <f>I23/H23*100</f>
        <v>66.63211012128748</v>
      </c>
    </row>
    <row r="24" spans="1:15" ht="21.75" customHeight="1" thickTop="1">
      <c r="A24" s="49">
        <v>1</v>
      </c>
      <c r="B24" s="12">
        <v>22703</v>
      </c>
      <c r="C24" s="7">
        <v>600</v>
      </c>
      <c r="D24" s="198" t="s">
        <v>134</v>
      </c>
      <c r="E24" s="141" t="s">
        <v>130</v>
      </c>
      <c r="F24" s="124">
        <v>5511320</v>
      </c>
      <c r="G24" s="125" t="s">
        <v>138</v>
      </c>
      <c r="H24" s="102">
        <v>5372113</v>
      </c>
      <c r="I24" s="101">
        <f>9410.6+5788+13115.6+30000+3200+17935+55600+231735.6+385011.3+161611.2+1280+4140+78020+6240+6389+7302.8+6760+4400+67980+50300+360508.6+78483.6+13250+84199+8399+2700+72875+98759+3210+198289.6+22223+76528+403603.6+105600+467728.05+203104.2+98770+15600+30740+88762.5</f>
        <v>3579552.2500000005</v>
      </c>
      <c r="J24" s="101">
        <v>1792054.79</v>
      </c>
      <c r="K24" s="88"/>
      <c r="L24" s="88">
        <f>+H24-I24-J24-K24</f>
        <v>505.9599999994971</v>
      </c>
      <c r="M24" s="81">
        <f>I24/H24*100</f>
        <v>66.63211012128748</v>
      </c>
      <c r="N24" s="3"/>
      <c r="O24" s="3"/>
    </row>
    <row r="25" spans="1:15" ht="21.75" customHeight="1">
      <c r="A25" s="49"/>
      <c r="B25" s="12"/>
      <c r="C25" s="7"/>
      <c r="D25" s="198"/>
      <c r="E25" s="141"/>
      <c r="F25" s="124"/>
      <c r="G25" s="241"/>
      <c r="H25" s="56"/>
      <c r="I25" s="72"/>
      <c r="J25" s="72"/>
      <c r="K25" s="73"/>
      <c r="L25" s="73"/>
      <c r="M25" s="79"/>
      <c r="N25" s="3"/>
      <c r="O25" s="3"/>
    </row>
    <row r="26" spans="1:13" s="4" customFormat="1" ht="21.75" customHeight="1">
      <c r="A26" s="111"/>
      <c r="B26" s="12"/>
      <c r="C26" s="7"/>
      <c r="D26" s="39"/>
      <c r="E26" s="141"/>
      <c r="F26" s="47"/>
      <c r="G26" s="149"/>
      <c r="H26" s="94"/>
      <c r="I26" s="95"/>
      <c r="J26" s="74"/>
      <c r="K26" s="74"/>
      <c r="L26" s="74"/>
      <c r="M26" s="80"/>
    </row>
    <row r="27" spans="1:15" ht="21.75" customHeight="1" thickBot="1">
      <c r="A27" s="224"/>
      <c r="B27" s="197"/>
      <c r="C27" s="190"/>
      <c r="D27" s="213" t="s">
        <v>136</v>
      </c>
      <c r="E27" s="191" t="s">
        <v>135</v>
      </c>
      <c r="F27" s="192"/>
      <c r="G27" s="42"/>
      <c r="H27" s="53">
        <f>+H29</f>
        <v>8654000</v>
      </c>
      <c r="I27" s="53">
        <f>+I29</f>
        <v>8649906.570000002</v>
      </c>
      <c r="J27" s="53">
        <f>+J29</f>
        <v>0</v>
      </c>
      <c r="K27" s="53">
        <f>+K29</f>
        <v>0</v>
      </c>
      <c r="L27" s="53">
        <f>+L29</f>
        <v>4093.4299999978393</v>
      </c>
      <c r="M27" s="76">
        <f>I27/H27*100</f>
        <v>99.95269898312922</v>
      </c>
      <c r="N27" s="3"/>
      <c r="O27" s="3"/>
    </row>
    <row r="28" spans="1:13" s="4" customFormat="1" ht="21.75" customHeight="1" thickTop="1">
      <c r="A28" s="111"/>
      <c r="B28" s="12"/>
      <c r="C28" s="7"/>
      <c r="D28" s="39"/>
      <c r="E28" s="178"/>
      <c r="F28" s="47"/>
      <c r="G28" s="149"/>
      <c r="H28" s="91"/>
      <c r="I28" s="89"/>
      <c r="J28" s="88"/>
      <c r="K28" s="88"/>
      <c r="L28" s="88"/>
      <c r="M28" s="81"/>
    </row>
    <row r="29" spans="1:15" ht="21.75" customHeight="1" thickBot="1">
      <c r="A29" s="41" t="s">
        <v>12</v>
      </c>
      <c r="B29" s="37"/>
      <c r="C29" s="38"/>
      <c r="D29" s="13"/>
      <c r="E29" s="13"/>
      <c r="F29" s="13"/>
      <c r="G29" s="110"/>
      <c r="H29" s="105">
        <f>+H31</f>
        <v>8654000</v>
      </c>
      <c r="I29" s="105">
        <f>+I31</f>
        <v>8649906.570000002</v>
      </c>
      <c r="J29" s="55">
        <f>+J31</f>
        <v>0</v>
      </c>
      <c r="K29" s="55">
        <f>+K31</f>
        <v>0</v>
      </c>
      <c r="L29" s="55">
        <f>+L31</f>
        <v>4093.4299999978393</v>
      </c>
      <c r="M29" s="17">
        <f>I29/H29*100</f>
        <v>99.95269898312922</v>
      </c>
      <c r="N29" s="3"/>
      <c r="O29" s="3"/>
    </row>
    <row r="30" spans="1:15" ht="21.75" customHeight="1" thickTop="1">
      <c r="A30" s="49"/>
      <c r="B30" s="12"/>
      <c r="C30" s="7"/>
      <c r="D30" s="198"/>
      <c r="E30" s="141"/>
      <c r="F30" s="124"/>
      <c r="G30" s="125"/>
      <c r="H30" s="96"/>
      <c r="I30" s="232"/>
      <c r="J30" s="72"/>
      <c r="K30" s="73"/>
      <c r="L30" s="71"/>
      <c r="M30" s="78"/>
      <c r="N30" s="3"/>
      <c r="O30" s="3"/>
    </row>
    <row r="31" spans="1:13" s="1" customFormat="1" ht="23.25" customHeight="1" thickBot="1">
      <c r="A31" s="48"/>
      <c r="B31" s="12"/>
      <c r="C31" s="6"/>
      <c r="D31" s="97" t="s">
        <v>143</v>
      </c>
      <c r="E31" s="18"/>
      <c r="F31" s="18"/>
      <c r="G31" s="25"/>
      <c r="H31" s="106">
        <f>SUM(H32)</f>
        <v>8654000</v>
      </c>
      <c r="I31" s="106">
        <f>SUM(I32)</f>
        <v>8649906.570000002</v>
      </c>
      <c r="J31" s="60">
        <f>SUM(J32)</f>
        <v>0</v>
      </c>
      <c r="K31" s="60">
        <f>SUM(K32)</f>
        <v>0</v>
      </c>
      <c r="L31" s="60">
        <f>SUM(L32)</f>
        <v>4093.4299999978393</v>
      </c>
      <c r="M31" s="144">
        <f>I31/H31*100</f>
        <v>99.95269898312922</v>
      </c>
    </row>
    <row r="32" spans="1:13" s="1" customFormat="1" ht="23.25" customHeight="1" thickTop="1">
      <c r="A32" s="237">
        <v>1</v>
      </c>
      <c r="B32" s="12">
        <v>40710</v>
      </c>
      <c r="C32" s="6">
        <v>600</v>
      </c>
      <c r="D32" s="198" t="s">
        <v>144</v>
      </c>
      <c r="E32" s="234" t="s">
        <v>137</v>
      </c>
      <c r="F32" s="238">
        <v>5510320</v>
      </c>
      <c r="G32" s="235" t="s">
        <v>176</v>
      </c>
      <c r="H32" s="59">
        <v>8654000</v>
      </c>
      <c r="I32" s="236">
        <f>6530+13502+91620+45920+46980+2560+1860+97500+29721.6+351657.5+176472+86460+78780+468570.2+139650+281936.39+139650+332000+1280+5680+332000+349200+136000+139650+57585.6+6751.2+495771.9+367062+4200+19662+31660+139650+8750+139650+5880+466821.32+5160+95600+77910+73200+690349.7+315792+11764.12+92220+94770+83700+8980+95100+430852.5+310938.2+7065+81439.84+75800+68487+96000+593951.05+105758.4+89595+46850.05</f>
        <v>8649906.570000002</v>
      </c>
      <c r="J32" s="59"/>
      <c r="K32" s="59"/>
      <c r="L32" s="73">
        <f>+H32-I32-J32-K32</f>
        <v>4093.4299999978393</v>
      </c>
      <c r="M32" s="79">
        <f>I32/H32*100</f>
        <v>99.95269898312922</v>
      </c>
    </row>
    <row r="33" spans="1:13" ht="22.5" customHeight="1">
      <c r="A33" s="46"/>
      <c r="B33" s="20"/>
      <c r="C33" s="21"/>
      <c r="D33" s="20"/>
      <c r="E33" s="20"/>
      <c r="F33" s="50"/>
      <c r="G33" s="22"/>
      <c r="H33" s="58"/>
      <c r="I33" s="64"/>
      <c r="J33" s="58"/>
      <c r="K33" s="58"/>
      <c r="L33" s="74"/>
      <c r="M33" s="80"/>
    </row>
    <row r="34" spans="1:15" ht="29.25" customHeight="1">
      <c r="A34" s="285" t="s">
        <v>147</v>
      </c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3"/>
      <c r="O34" s="3"/>
    </row>
    <row r="35" spans="1:13" ht="30" customHeight="1">
      <c r="A35" s="285" t="str">
        <f>+A2</f>
        <v>ณ วันที่  31  มีนาคม  2556</v>
      </c>
      <c r="B35" s="285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</row>
    <row r="36" spans="9:15" ht="21.75" customHeight="1">
      <c r="I36" s="67"/>
      <c r="L36" s="67"/>
      <c r="N36" s="3"/>
      <c r="O36" s="3"/>
    </row>
    <row r="37" spans="1:15" ht="42.75" customHeight="1">
      <c r="A37" s="43" t="s">
        <v>24</v>
      </c>
      <c r="B37" s="286" t="s">
        <v>4</v>
      </c>
      <c r="C37" s="286"/>
      <c r="D37" s="44" t="s">
        <v>6</v>
      </c>
      <c r="E37" s="44" t="s">
        <v>22</v>
      </c>
      <c r="F37" s="44" t="s">
        <v>23</v>
      </c>
      <c r="G37" s="45" t="s">
        <v>11</v>
      </c>
      <c r="H37" s="52" t="s">
        <v>7</v>
      </c>
      <c r="I37" s="61" t="s">
        <v>8</v>
      </c>
      <c r="J37" s="52" t="s">
        <v>21</v>
      </c>
      <c r="K37" s="52" t="s">
        <v>30</v>
      </c>
      <c r="L37" s="52" t="s">
        <v>9</v>
      </c>
      <c r="M37" s="52" t="s">
        <v>10</v>
      </c>
      <c r="N37" s="3"/>
      <c r="O37" s="3"/>
    </row>
    <row r="38" spans="1:15" ht="21.75" customHeight="1" thickBot="1">
      <c r="A38" s="140" t="s">
        <v>26</v>
      </c>
      <c r="B38" s="23"/>
      <c r="C38" s="5"/>
      <c r="D38" s="14"/>
      <c r="E38" s="14"/>
      <c r="F38" s="14"/>
      <c r="G38" s="15"/>
      <c r="H38" s="53">
        <f>+H40+H86+H102</f>
        <v>123852200</v>
      </c>
      <c r="I38" s="53">
        <f>+I40+I86+I102</f>
        <v>36009914.69</v>
      </c>
      <c r="J38" s="53">
        <f>+J40+J86+J102</f>
        <v>9627634.89</v>
      </c>
      <c r="K38" s="53">
        <f>+K40+K86+K102</f>
        <v>0</v>
      </c>
      <c r="L38" s="53">
        <f>+L40+L86+L102</f>
        <v>85666957.31</v>
      </c>
      <c r="M38" s="76">
        <f>I38/H38*100</f>
        <v>29.07490919822175</v>
      </c>
      <c r="N38" s="3"/>
      <c r="O38" s="3"/>
    </row>
    <row r="39" spans="1:13" s="51" customFormat="1" ht="21.75" customHeight="1" thickTop="1">
      <c r="A39" s="26"/>
      <c r="B39" s="132"/>
      <c r="C39" s="133"/>
      <c r="D39" s="134"/>
      <c r="E39" s="159"/>
      <c r="F39" s="135"/>
      <c r="G39" s="136"/>
      <c r="H39" s="59"/>
      <c r="I39" s="160"/>
      <c r="J39" s="59"/>
      <c r="K39" s="59"/>
      <c r="L39" s="75"/>
      <c r="M39" s="82"/>
    </row>
    <row r="40" spans="1:15" ht="21.75" customHeight="1" thickBot="1">
      <c r="A40" s="8"/>
      <c r="B40" s="11"/>
      <c r="C40" s="6"/>
      <c r="D40" s="24" t="s">
        <v>148</v>
      </c>
      <c r="E40" s="163" t="s">
        <v>131</v>
      </c>
      <c r="F40" s="13"/>
      <c r="G40" s="16"/>
      <c r="H40" s="53">
        <f>+H42+H54+H81</f>
        <v>28781600</v>
      </c>
      <c r="I40" s="53">
        <f>+I42+I54+I81</f>
        <v>9471520.51</v>
      </c>
      <c r="J40" s="53">
        <f>+J42+J54+J81</f>
        <v>3594629.74</v>
      </c>
      <c r="K40" s="53">
        <f>+K42+K54+K81</f>
        <v>0</v>
      </c>
      <c r="L40" s="53">
        <f>+L42+L54+L81</f>
        <v>18837799.49</v>
      </c>
      <c r="M40" s="76">
        <f>I40/H40*100</f>
        <v>32.908248707507575</v>
      </c>
      <c r="N40" s="3"/>
      <c r="O40" s="3"/>
    </row>
    <row r="41" spans="1:15" ht="21.75" customHeight="1" thickTop="1">
      <c r="A41" s="8"/>
      <c r="B41" s="11"/>
      <c r="C41" s="6"/>
      <c r="D41" s="13"/>
      <c r="E41" s="13"/>
      <c r="F41" s="13"/>
      <c r="G41" s="16"/>
      <c r="H41" s="68"/>
      <c r="I41" s="126"/>
      <c r="J41" s="68"/>
      <c r="K41" s="54"/>
      <c r="L41" s="54"/>
      <c r="M41" s="54"/>
      <c r="N41" s="3"/>
      <c r="O41" s="3"/>
    </row>
    <row r="42" spans="1:15" ht="21.75" customHeight="1" thickBot="1">
      <c r="A42" s="41" t="s">
        <v>3</v>
      </c>
      <c r="B42" s="37"/>
      <c r="C42" s="38"/>
      <c r="D42" s="13"/>
      <c r="E42" s="13"/>
      <c r="F42" s="13"/>
      <c r="G42" s="110"/>
      <c r="H42" s="105">
        <f>+H43+H47+H49</f>
        <v>2037800</v>
      </c>
      <c r="I42" s="105">
        <f>+I43+I47+I49</f>
        <v>953890.26</v>
      </c>
      <c r="J42" s="55">
        <f>+J43+J47+J49</f>
        <v>0</v>
      </c>
      <c r="K42" s="55">
        <f>+K43+K47+K49</f>
        <v>0</v>
      </c>
      <c r="L42" s="55">
        <f>+L43+L47+L49</f>
        <v>1083909.74</v>
      </c>
      <c r="M42" s="77">
        <f>I42/H42*100</f>
        <v>46.809807635685544</v>
      </c>
      <c r="N42" s="3"/>
      <c r="O42" s="3"/>
    </row>
    <row r="43" spans="1:13" s="4" customFormat="1" ht="21.75" customHeight="1" thickTop="1">
      <c r="A43" s="111">
        <v>1</v>
      </c>
      <c r="B43" s="12">
        <v>22001</v>
      </c>
      <c r="C43" s="7">
        <v>300</v>
      </c>
      <c r="D43" s="39" t="s">
        <v>149</v>
      </c>
      <c r="E43" s="141" t="s">
        <v>0</v>
      </c>
      <c r="F43" s="47">
        <v>5611200</v>
      </c>
      <c r="G43" s="165" t="s">
        <v>34</v>
      </c>
      <c r="H43" s="112">
        <f>100000+250000+200000</f>
        <v>550000</v>
      </c>
      <c r="I43" s="172">
        <f>+I44+I45+I46</f>
        <v>374255</v>
      </c>
      <c r="J43" s="113">
        <f>SUM(J44:J46)</f>
        <v>0</v>
      </c>
      <c r="K43" s="71"/>
      <c r="L43" s="71">
        <f>H43-I43-J43</f>
        <v>175745</v>
      </c>
      <c r="M43" s="78">
        <f>I43/H43*100</f>
        <v>68.04636363636364</v>
      </c>
    </row>
    <row r="44" spans="1:13" s="4" customFormat="1" ht="21.75" customHeight="1">
      <c r="A44" s="111"/>
      <c r="B44" s="12"/>
      <c r="C44" s="7"/>
      <c r="D44" s="39"/>
      <c r="E44" s="39"/>
      <c r="F44" s="47">
        <v>5611210</v>
      </c>
      <c r="G44" s="9"/>
      <c r="H44" s="112"/>
      <c r="I44" s="115">
        <v>46440</v>
      </c>
      <c r="J44" s="71"/>
      <c r="K44" s="71"/>
      <c r="L44" s="71"/>
      <c r="M44" s="78"/>
    </row>
    <row r="45" spans="1:13" s="4" customFormat="1" ht="21.75" customHeight="1">
      <c r="A45" s="111"/>
      <c r="B45" s="12"/>
      <c r="C45" s="7"/>
      <c r="D45" s="39"/>
      <c r="E45" s="39"/>
      <c r="F45" s="47">
        <v>5611220</v>
      </c>
      <c r="G45" s="9"/>
      <c r="H45" s="112"/>
      <c r="I45" s="114">
        <f>18576+18510+14400+48762+3500+15000+45500+19050</f>
        <v>183298</v>
      </c>
      <c r="J45" s="71"/>
      <c r="K45" s="71"/>
      <c r="L45" s="71"/>
      <c r="M45" s="78"/>
    </row>
    <row r="46" spans="1:13" s="4" customFormat="1" ht="21.75" customHeight="1">
      <c r="A46" s="111"/>
      <c r="B46" s="12"/>
      <c r="C46" s="7"/>
      <c r="D46" s="39"/>
      <c r="E46" s="39"/>
      <c r="F46" s="47">
        <v>5611230</v>
      </c>
      <c r="G46" s="9"/>
      <c r="H46" s="112"/>
      <c r="I46" s="115">
        <f>55445+3849+75500+5250+1911+2562</f>
        <v>144517</v>
      </c>
      <c r="J46" s="71"/>
      <c r="K46" s="71"/>
      <c r="L46" s="71"/>
      <c r="M46" s="78"/>
    </row>
    <row r="47" spans="1:13" s="4" customFormat="1" ht="21.75" customHeight="1">
      <c r="A47" s="111"/>
      <c r="B47" s="12">
        <v>22001</v>
      </c>
      <c r="C47" s="7">
        <v>450</v>
      </c>
      <c r="D47" s="39" t="s">
        <v>149</v>
      </c>
      <c r="E47" s="141" t="s">
        <v>0</v>
      </c>
      <c r="F47" s="47">
        <v>5611240</v>
      </c>
      <c r="G47" s="149" t="s">
        <v>33</v>
      </c>
      <c r="H47" s="112">
        <f>368000+659000</f>
        <v>1027000</v>
      </c>
      <c r="I47" s="115">
        <f>10120.74+922.11+6484+42.8+345.61+321+321+112458.13+2966.26+17450.66+1605+5028+321+321+465.45+5211+4456.88+1605+73983.42+321+321+349.89+9966+334.1+54650.47+1605+6504+3265.05+4511.92+321+321+338.12+1605+50954.16+331.36+331.36+9696+3709.64+1605+41365.13</f>
        <v>436835.26</v>
      </c>
      <c r="J47" s="71"/>
      <c r="K47" s="71"/>
      <c r="L47" s="71">
        <f>H47-I47-J47</f>
        <v>590164.74</v>
      </c>
      <c r="M47" s="78">
        <f>I47/H47*100</f>
        <v>42.5350788704966</v>
      </c>
    </row>
    <row r="48" spans="1:13" s="4" customFormat="1" ht="21.75" customHeight="1">
      <c r="A48" s="111"/>
      <c r="B48" s="12"/>
      <c r="C48" s="7"/>
      <c r="D48" s="39"/>
      <c r="E48" s="141"/>
      <c r="F48" s="47"/>
      <c r="G48" s="149"/>
      <c r="H48" s="112"/>
      <c r="I48" s="73"/>
      <c r="J48" s="71"/>
      <c r="K48" s="71"/>
      <c r="L48" s="71"/>
      <c r="M48" s="78"/>
    </row>
    <row r="49" spans="1:13" s="4" customFormat="1" ht="21.75" customHeight="1">
      <c r="A49" s="111">
        <v>2</v>
      </c>
      <c r="B49" s="12">
        <v>22001</v>
      </c>
      <c r="C49" s="7">
        <v>300</v>
      </c>
      <c r="D49" s="39" t="s">
        <v>149</v>
      </c>
      <c r="E49" s="141" t="s">
        <v>0</v>
      </c>
      <c r="F49" s="47">
        <v>5611200</v>
      </c>
      <c r="G49" s="165" t="s">
        <v>150</v>
      </c>
      <c r="H49" s="112">
        <v>460800</v>
      </c>
      <c r="I49" s="240">
        <f>+I50+I51+I52</f>
        <v>142800</v>
      </c>
      <c r="J49" s="113">
        <f>SUM(J50:J52)</f>
        <v>0</v>
      </c>
      <c r="K49" s="71"/>
      <c r="L49" s="71">
        <f>H49-I49-J49</f>
        <v>318000</v>
      </c>
      <c r="M49" s="78">
        <f>I49/H49*100</f>
        <v>30.989583333333332</v>
      </c>
    </row>
    <row r="50" spans="1:13" s="4" customFormat="1" ht="21.75" customHeight="1">
      <c r="A50" s="111"/>
      <c r="B50" s="12"/>
      <c r="C50" s="7"/>
      <c r="D50" s="39"/>
      <c r="E50" s="39"/>
      <c r="F50" s="47">
        <v>5611210</v>
      </c>
      <c r="G50" s="9"/>
      <c r="H50" s="112"/>
      <c r="I50" s="73"/>
      <c r="J50" s="71"/>
      <c r="K50" s="71"/>
      <c r="L50" s="71"/>
      <c r="M50" s="78"/>
    </row>
    <row r="51" spans="1:13" s="4" customFormat="1" ht="21.75" customHeight="1">
      <c r="A51" s="111"/>
      <c r="B51" s="12"/>
      <c r="C51" s="7"/>
      <c r="D51" s="39"/>
      <c r="E51" s="39"/>
      <c r="F51" s="47">
        <v>5611220</v>
      </c>
      <c r="G51" s="9"/>
      <c r="H51" s="112"/>
      <c r="I51" s="114">
        <f>10800+3600+3600+28800+19200+7200+7200+7200+7200+12000+4800+14400+2400+3600+10800</f>
        <v>142800</v>
      </c>
      <c r="J51" s="71"/>
      <c r="K51" s="71"/>
      <c r="L51" s="71"/>
      <c r="M51" s="78"/>
    </row>
    <row r="52" spans="1:13" s="4" customFormat="1" ht="21.75" customHeight="1">
      <c r="A52" s="111"/>
      <c r="B52" s="12"/>
      <c r="C52" s="7"/>
      <c r="D52" s="39"/>
      <c r="E52" s="39"/>
      <c r="F52" s="47">
        <v>5611230</v>
      </c>
      <c r="G52" s="9"/>
      <c r="H52" s="112"/>
      <c r="I52" s="115"/>
      <c r="J52" s="71"/>
      <c r="K52" s="71"/>
      <c r="L52" s="71"/>
      <c r="M52" s="78"/>
    </row>
    <row r="53" spans="1:13" s="4" customFormat="1" ht="21.75" customHeight="1">
      <c r="A53" s="111"/>
      <c r="B53" s="12"/>
      <c r="C53" s="7"/>
      <c r="D53" s="39"/>
      <c r="E53" s="141"/>
      <c r="F53" s="47"/>
      <c r="G53" s="149"/>
      <c r="H53" s="112"/>
      <c r="I53" s="115"/>
      <c r="J53" s="71"/>
      <c r="K53" s="71"/>
      <c r="L53" s="71"/>
      <c r="M53" s="78"/>
    </row>
    <row r="54" spans="1:15" ht="21.75" customHeight="1" thickBot="1">
      <c r="A54" s="41" t="s">
        <v>12</v>
      </c>
      <c r="B54" s="37"/>
      <c r="C54" s="38"/>
      <c r="D54" s="13"/>
      <c r="E54" s="13"/>
      <c r="F54" s="13"/>
      <c r="G54" s="110"/>
      <c r="H54" s="105">
        <f>+H56+H77+H67+H70+H74</f>
        <v>26452000</v>
      </c>
      <c r="I54" s="105">
        <f>+I56+I77+I67+I70+I74</f>
        <v>8225835.25</v>
      </c>
      <c r="J54" s="55">
        <f>+J56+J77+J67+J70+J74</f>
        <v>3594629.74</v>
      </c>
      <c r="K54" s="55">
        <f>+K56+K77+K67+K70+K74</f>
        <v>0</v>
      </c>
      <c r="L54" s="55">
        <f>+L56+L77+L67+L70+L74</f>
        <v>17753884.75</v>
      </c>
      <c r="M54" s="77">
        <f>I54/H54*100</f>
        <v>31.097214766369273</v>
      </c>
      <c r="N54" s="3"/>
      <c r="O54" s="3"/>
    </row>
    <row r="55" spans="1:15" ht="24.75" customHeight="1" thickTop="1">
      <c r="A55" s="41"/>
      <c r="B55" s="37"/>
      <c r="C55" s="38"/>
      <c r="D55" s="13"/>
      <c r="E55" s="13"/>
      <c r="F55" s="13"/>
      <c r="G55" s="110"/>
      <c r="H55" s="129"/>
      <c r="I55" s="231"/>
      <c r="J55" s="129"/>
      <c r="K55" s="129"/>
      <c r="L55" s="129"/>
      <c r="M55" s="169"/>
      <c r="N55" s="3"/>
      <c r="O55" s="3"/>
    </row>
    <row r="56" spans="1:13" s="1" customFormat="1" ht="23.25" customHeight="1" thickBot="1">
      <c r="A56" s="48"/>
      <c r="B56" s="12"/>
      <c r="C56" s="6"/>
      <c r="D56" s="97" t="s">
        <v>163</v>
      </c>
      <c r="E56" s="18"/>
      <c r="F56" s="18"/>
      <c r="G56" s="25" t="s">
        <v>232</v>
      </c>
      <c r="H56" s="106">
        <f>SUM(H57:H63)</f>
        <v>12840000</v>
      </c>
      <c r="I56" s="106">
        <f>SUM(I57:I63)</f>
        <v>5609896.25</v>
      </c>
      <c r="J56" s="60">
        <v>3122349.74</v>
      </c>
      <c r="K56" s="60">
        <f>SUM(K57:K63)</f>
        <v>0</v>
      </c>
      <c r="L56" s="60">
        <f>SUM(L57:L63)</f>
        <v>7230103.75</v>
      </c>
      <c r="M56" s="144">
        <f aca="true" t="shared" si="0" ref="M56:M61">I56/H56*100</f>
        <v>43.69078076323988</v>
      </c>
    </row>
    <row r="57" spans="1:15" ht="21.75" customHeight="1" thickTop="1">
      <c r="A57" s="49">
        <v>1</v>
      </c>
      <c r="B57" s="12">
        <v>22001</v>
      </c>
      <c r="C57" s="7">
        <v>600</v>
      </c>
      <c r="D57" s="198" t="s">
        <v>164</v>
      </c>
      <c r="E57" s="141" t="s">
        <v>0</v>
      </c>
      <c r="F57" s="124">
        <v>5611320</v>
      </c>
      <c r="G57" s="125" t="s">
        <v>169</v>
      </c>
      <c r="H57" s="151">
        <v>2200000</v>
      </c>
      <c r="I57" s="153">
        <f>97740+52012.8+85335+45975.6+9752.4+9288+14628.6+9752.4+32043.6+4876.2+9752.4+14628.6+19504.8+9752.4+5108.4+10216.8+15325.2+15325.2+10216.8+10216.8+33436.8+20433.6+3325+96790+10216.8+9288+9288+13932+13932+9288+9288+9288+32043.6+18576</f>
        <v>770577.8</v>
      </c>
      <c r="J57" s="153"/>
      <c r="K57" s="130"/>
      <c r="L57" s="130">
        <f>+H57-I57-J57-K57</f>
        <v>1429422.2</v>
      </c>
      <c r="M57" s="169">
        <f t="shared" si="0"/>
        <v>35.02626363636364</v>
      </c>
      <c r="N57" s="3"/>
      <c r="O57" s="3"/>
    </row>
    <row r="58" spans="1:15" ht="21.75" customHeight="1">
      <c r="A58" s="49">
        <v>2</v>
      </c>
      <c r="B58" s="12">
        <v>22001</v>
      </c>
      <c r="C58" s="7">
        <v>600</v>
      </c>
      <c r="D58" s="198" t="s">
        <v>164</v>
      </c>
      <c r="E58" s="141" t="s">
        <v>0</v>
      </c>
      <c r="F58" s="124">
        <v>5611320</v>
      </c>
      <c r="G58" s="125" t="s">
        <v>179</v>
      </c>
      <c r="H58" s="56">
        <v>4119000</v>
      </c>
      <c r="I58" s="62">
        <f>61080+81000+48529.8+70417.04+30540+58130+63615+97059.6+60372+22815+98375+960+22730.4+11237+6300+8160+4800+4800+634741.5+70588.8+88236+22987.8+35991+10680+237300+8912+92090</f>
        <v>1952447.94</v>
      </c>
      <c r="J58" s="72"/>
      <c r="K58" s="73"/>
      <c r="L58" s="73">
        <f>+H58-I58-J58-K58</f>
        <v>2166552.06</v>
      </c>
      <c r="M58" s="79">
        <f t="shared" si="0"/>
        <v>47.401018208302986</v>
      </c>
      <c r="N58" s="3"/>
      <c r="O58" s="3"/>
    </row>
    <row r="59" spans="1:15" ht="21.75" customHeight="1">
      <c r="A59" s="49">
        <v>3</v>
      </c>
      <c r="B59" s="12">
        <v>22001</v>
      </c>
      <c r="C59" s="7">
        <v>600</v>
      </c>
      <c r="D59" s="198" t="s">
        <v>164</v>
      </c>
      <c r="E59" s="141" t="s">
        <v>0</v>
      </c>
      <c r="F59" s="124">
        <v>5611320</v>
      </c>
      <c r="G59" s="125" t="s">
        <v>180</v>
      </c>
      <c r="H59" s="56">
        <v>2444000</v>
      </c>
      <c r="I59" s="62">
        <f>30540+64550+52198.3+82028.6+57182.7+80000+76595+39706.2+104396.6+57798.54+1463.76+90000+81450+72209.6+90262+48060+7840+9712+165700+6480+70290+143030+19050+80030</f>
        <v>1530573.3</v>
      </c>
      <c r="J59" s="72"/>
      <c r="K59" s="73"/>
      <c r="L59" s="73">
        <f>+H59-I59-J59-K59</f>
        <v>913426.7</v>
      </c>
      <c r="M59" s="79">
        <f t="shared" si="0"/>
        <v>62.625748772504096</v>
      </c>
      <c r="N59" s="3"/>
      <c r="O59" s="3"/>
    </row>
    <row r="60" spans="1:15" ht="21.75" customHeight="1">
      <c r="A60" s="49">
        <v>4</v>
      </c>
      <c r="B60" s="12">
        <v>22001</v>
      </c>
      <c r="C60" s="7">
        <v>600</v>
      </c>
      <c r="D60" s="198" t="s">
        <v>164</v>
      </c>
      <c r="E60" s="141" t="s">
        <v>0</v>
      </c>
      <c r="F60" s="124">
        <v>5611320</v>
      </c>
      <c r="G60" s="125" t="s">
        <v>181</v>
      </c>
      <c r="H60" s="56">
        <v>2112000</v>
      </c>
      <c r="I60" s="62">
        <f>79180.2+91620+76300+6129+150930+30650.4+71053.2+115635.6+69230+6052.81+5877+5390+43300</f>
        <v>751348.2100000001</v>
      </c>
      <c r="J60" s="72"/>
      <c r="K60" s="73"/>
      <c r="L60" s="73">
        <f>+H60-I60-J60-K60</f>
        <v>1360651.79</v>
      </c>
      <c r="M60" s="79">
        <f t="shared" si="0"/>
        <v>35.57519933712122</v>
      </c>
      <c r="N60" s="3"/>
      <c r="O60" s="3"/>
    </row>
    <row r="61" spans="1:15" ht="21.75" customHeight="1">
      <c r="A61" s="49">
        <v>5</v>
      </c>
      <c r="B61" s="12">
        <v>22001</v>
      </c>
      <c r="C61" s="7">
        <v>600</v>
      </c>
      <c r="D61" s="198" t="s">
        <v>164</v>
      </c>
      <c r="E61" s="141" t="s">
        <v>0</v>
      </c>
      <c r="F61" s="124">
        <v>5611320</v>
      </c>
      <c r="G61" s="125" t="s">
        <v>192</v>
      </c>
      <c r="H61" s="56">
        <v>908000</v>
      </c>
      <c r="I61" s="62">
        <f>96787+75600+99346.4+45975.6+88785+7050+89080+3960+1280+23220+64240+5485+4140</f>
        <v>604949</v>
      </c>
      <c r="J61" s="72"/>
      <c r="K61" s="73"/>
      <c r="L61" s="73">
        <f>+H61-I61-J61-K61</f>
        <v>303051</v>
      </c>
      <c r="M61" s="79">
        <f t="shared" si="0"/>
        <v>66.62433920704845</v>
      </c>
      <c r="N61" s="3"/>
      <c r="O61" s="3"/>
    </row>
    <row r="62" spans="1:15" ht="21.75" customHeight="1">
      <c r="A62" s="49"/>
      <c r="B62" s="12"/>
      <c r="C62" s="7"/>
      <c r="D62" s="198"/>
      <c r="E62" s="141"/>
      <c r="F62" s="124"/>
      <c r="G62" s="125" t="s">
        <v>193</v>
      </c>
      <c r="H62" s="56"/>
      <c r="I62" s="62"/>
      <c r="J62" s="72"/>
      <c r="K62" s="73"/>
      <c r="L62" s="73"/>
      <c r="M62" s="79"/>
      <c r="N62" s="3"/>
      <c r="O62" s="3"/>
    </row>
    <row r="63" spans="1:15" ht="21.75" customHeight="1">
      <c r="A63" s="49">
        <v>6</v>
      </c>
      <c r="B63" s="12">
        <v>22001</v>
      </c>
      <c r="C63" s="7">
        <v>600</v>
      </c>
      <c r="D63" s="198" t="s">
        <v>164</v>
      </c>
      <c r="E63" s="141" t="s">
        <v>0</v>
      </c>
      <c r="F63" s="124">
        <v>5611320</v>
      </c>
      <c r="G63" s="125" t="s">
        <v>273</v>
      </c>
      <c r="H63" s="56">
        <v>1057000</v>
      </c>
      <c r="I63" s="62"/>
      <c r="J63" s="72"/>
      <c r="K63" s="73"/>
      <c r="L63" s="73">
        <f>+H63-I63-J63-K63</f>
        <v>1057000</v>
      </c>
      <c r="M63" s="79">
        <f>I63/H63*100</f>
        <v>0</v>
      </c>
      <c r="N63" s="3"/>
      <c r="O63" s="3"/>
    </row>
    <row r="64" spans="1:15" ht="21.75" customHeight="1">
      <c r="A64" s="49"/>
      <c r="B64" s="12"/>
      <c r="C64" s="7"/>
      <c r="D64" s="198"/>
      <c r="E64" s="141"/>
      <c r="F64" s="124"/>
      <c r="G64" s="125" t="s">
        <v>274</v>
      </c>
      <c r="H64" s="56"/>
      <c r="I64" s="62"/>
      <c r="J64" s="72"/>
      <c r="K64" s="73"/>
      <c r="L64" s="73"/>
      <c r="M64" s="79"/>
      <c r="N64" s="3"/>
      <c r="O64" s="3"/>
    </row>
    <row r="65" spans="1:15" ht="21.75" customHeight="1">
      <c r="A65" s="49"/>
      <c r="B65" s="12"/>
      <c r="C65" s="7"/>
      <c r="D65" s="198"/>
      <c r="E65" s="141"/>
      <c r="F65" s="124"/>
      <c r="G65" s="125"/>
      <c r="H65" s="56"/>
      <c r="I65" s="62"/>
      <c r="J65" s="72"/>
      <c r="K65" s="73"/>
      <c r="L65" s="73"/>
      <c r="M65" s="79"/>
      <c r="N65" s="3"/>
      <c r="O65" s="3"/>
    </row>
    <row r="66" spans="1:15" ht="21.75" customHeight="1">
      <c r="A66" s="46"/>
      <c r="B66" s="92"/>
      <c r="C66" s="93"/>
      <c r="D66" s="255"/>
      <c r="E66" s="200"/>
      <c r="F66" s="118"/>
      <c r="G66" s="256"/>
      <c r="H66" s="120"/>
      <c r="I66" s="121"/>
      <c r="J66" s="122"/>
      <c r="K66" s="74"/>
      <c r="L66" s="74"/>
      <c r="M66" s="80"/>
      <c r="N66" s="3"/>
      <c r="O66" s="3"/>
    </row>
    <row r="67" spans="1:13" s="1" customFormat="1" ht="23.25" customHeight="1" thickBot="1">
      <c r="A67" s="263"/>
      <c r="B67" s="244"/>
      <c r="C67" s="190"/>
      <c r="D67" s="267" t="s">
        <v>220</v>
      </c>
      <c r="E67" s="268"/>
      <c r="F67" s="268"/>
      <c r="G67" s="269" t="s">
        <v>235</v>
      </c>
      <c r="H67" s="264">
        <f>+H68</f>
        <v>1482000</v>
      </c>
      <c r="I67" s="264">
        <f>+I68</f>
        <v>913358.4</v>
      </c>
      <c r="J67" s="265">
        <f>+J68</f>
        <v>195350</v>
      </c>
      <c r="K67" s="265">
        <f>+K68</f>
        <v>0</v>
      </c>
      <c r="L67" s="265">
        <f>+L68</f>
        <v>373291.6</v>
      </c>
      <c r="M67" s="266">
        <f>I67/H67*100</f>
        <v>61.630121457489885</v>
      </c>
    </row>
    <row r="68" spans="1:15" ht="21.75" customHeight="1" thickTop="1">
      <c r="A68" s="49">
        <v>1</v>
      </c>
      <c r="B68" s="12">
        <v>22001</v>
      </c>
      <c r="C68" s="7">
        <v>600</v>
      </c>
      <c r="D68" s="198" t="s">
        <v>221</v>
      </c>
      <c r="E68" s="141" t="s">
        <v>0</v>
      </c>
      <c r="F68" s="124">
        <v>5611320</v>
      </c>
      <c r="G68" s="125" t="s">
        <v>222</v>
      </c>
      <c r="H68" s="151">
        <v>1482000</v>
      </c>
      <c r="I68" s="153">
        <f>91620+80000+18296.4+92220+92310+56740+92310+13932+92310+92310+99000+92310</f>
        <v>913358.4</v>
      </c>
      <c r="J68" s="153">
        <v>195350</v>
      </c>
      <c r="K68" s="130"/>
      <c r="L68" s="130">
        <f>+H68-I68-J68-K68</f>
        <v>373291.6</v>
      </c>
      <c r="M68" s="169">
        <f>I68/H68*100</f>
        <v>61.630121457489885</v>
      </c>
      <c r="N68" s="3"/>
      <c r="O68" s="3"/>
    </row>
    <row r="69" spans="1:15" ht="21.75" customHeight="1">
      <c r="A69" s="26"/>
      <c r="B69" s="12"/>
      <c r="C69" s="7"/>
      <c r="D69" s="198"/>
      <c r="E69" s="141"/>
      <c r="F69" s="47"/>
      <c r="G69" s="149"/>
      <c r="H69" s="120"/>
      <c r="I69" s="121"/>
      <c r="J69" s="122"/>
      <c r="K69" s="74"/>
      <c r="L69" s="74"/>
      <c r="M69" s="80"/>
      <c r="N69" s="3"/>
      <c r="O69" s="3"/>
    </row>
    <row r="70" spans="1:13" s="1" customFormat="1" ht="23.25" customHeight="1" thickBot="1">
      <c r="A70" s="48"/>
      <c r="B70" s="12"/>
      <c r="C70" s="6"/>
      <c r="D70" s="97" t="s">
        <v>229</v>
      </c>
      <c r="E70" s="18"/>
      <c r="F70" s="18"/>
      <c r="G70" s="25"/>
      <c r="H70" s="264">
        <f>SUM(H71:H72)</f>
        <v>10500000</v>
      </c>
      <c r="I70" s="264">
        <f>SUM(I71:I72)</f>
        <v>1429380.6</v>
      </c>
      <c r="J70" s="264">
        <f>SUM(J71:J72)</f>
        <v>276930</v>
      </c>
      <c r="K70" s="264">
        <f>SUM(K71:K72)</f>
        <v>0</v>
      </c>
      <c r="L70" s="264">
        <f>SUM(L71:L72)</f>
        <v>8793689.4</v>
      </c>
      <c r="M70" s="266">
        <f>I70/H70*100</f>
        <v>13.613148571428571</v>
      </c>
    </row>
    <row r="71" spans="1:15" ht="21.75" customHeight="1" thickTop="1">
      <c r="A71" s="49">
        <v>1</v>
      </c>
      <c r="B71" s="12">
        <v>22001</v>
      </c>
      <c r="C71" s="7">
        <v>600</v>
      </c>
      <c r="D71" s="198" t="s">
        <v>230</v>
      </c>
      <c r="E71" s="141" t="s">
        <v>0</v>
      </c>
      <c r="F71" s="124">
        <v>5611320</v>
      </c>
      <c r="G71" s="125" t="s">
        <v>231</v>
      </c>
      <c r="H71" s="151">
        <v>5500000</v>
      </c>
      <c r="I71" s="153">
        <f>91710+91710+4644+91620+92310+92310+98645+92310+121671.6+96900+78000+98550+91920+92310+65000+37460+92310</f>
        <v>1429380.6</v>
      </c>
      <c r="J71" s="153">
        <v>276930</v>
      </c>
      <c r="K71" s="130"/>
      <c r="L71" s="130">
        <f>+H71-I71-J71-K71</f>
        <v>3793689.4</v>
      </c>
      <c r="M71" s="169">
        <f>I71/H71*100</f>
        <v>25.98873818181818</v>
      </c>
      <c r="N71" s="3"/>
      <c r="O71" s="3"/>
    </row>
    <row r="72" spans="1:15" ht="21.75" customHeight="1">
      <c r="A72" s="49">
        <v>1</v>
      </c>
      <c r="B72" s="12">
        <v>22001</v>
      </c>
      <c r="C72" s="7">
        <v>600</v>
      </c>
      <c r="D72" s="198" t="s">
        <v>230</v>
      </c>
      <c r="E72" s="141" t="s">
        <v>0</v>
      </c>
      <c r="F72" s="124">
        <v>5611320</v>
      </c>
      <c r="G72" s="125" t="s">
        <v>269</v>
      </c>
      <c r="H72" s="156">
        <v>5000000</v>
      </c>
      <c r="I72" s="157"/>
      <c r="J72" s="158"/>
      <c r="K72" s="75"/>
      <c r="L72" s="73">
        <f>+H72-I72-J72-K72</f>
        <v>5000000</v>
      </c>
      <c r="M72" s="79">
        <f>I72/H72*100</f>
        <v>0</v>
      </c>
      <c r="N72" s="3"/>
      <c r="O72" s="3"/>
    </row>
    <row r="73" spans="1:15" ht="21.75" customHeight="1">
      <c r="A73" s="26"/>
      <c r="B73" s="12"/>
      <c r="C73" s="7"/>
      <c r="D73" s="198"/>
      <c r="E73" s="141"/>
      <c r="F73" s="47"/>
      <c r="G73" s="149"/>
      <c r="H73" s="120"/>
      <c r="I73" s="121"/>
      <c r="J73" s="122"/>
      <c r="K73" s="74"/>
      <c r="L73" s="74"/>
      <c r="M73" s="80"/>
      <c r="N73" s="3"/>
      <c r="O73" s="3"/>
    </row>
    <row r="74" spans="1:13" s="1" customFormat="1" ht="23.25" customHeight="1" thickBot="1">
      <c r="A74" s="48"/>
      <c r="B74" s="12"/>
      <c r="C74" s="6"/>
      <c r="D74" s="97" t="s">
        <v>262</v>
      </c>
      <c r="E74" s="18"/>
      <c r="F74" s="18"/>
      <c r="G74" s="25"/>
      <c r="H74" s="264">
        <f>+H75</f>
        <v>850000</v>
      </c>
      <c r="I74" s="264">
        <f>+I75</f>
        <v>0</v>
      </c>
      <c r="J74" s="265">
        <f>+J75</f>
        <v>0</v>
      </c>
      <c r="K74" s="265">
        <f>+K75</f>
        <v>0</v>
      </c>
      <c r="L74" s="265">
        <f>+L75</f>
        <v>850000</v>
      </c>
      <c r="M74" s="266">
        <f>I74/H74*100</f>
        <v>0</v>
      </c>
    </row>
    <row r="75" spans="1:15" ht="21.75" customHeight="1" thickTop="1">
      <c r="A75" s="49">
        <v>1</v>
      </c>
      <c r="B75" s="12">
        <v>22001</v>
      </c>
      <c r="C75" s="7">
        <v>600</v>
      </c>
      <c r="D75" s="198" t="s">
        <v>263</v>
      </c>
      <c r="E75" s="141" t="s">
        <v>0</v>
      </c>
      <c r="F75" s="124">
        <v>5611320</v>
      </c>
      <c r="G75" s="125" t="s">
        <v>264</v>
      </c>
      <c r="H75" s="151">
        <v>850000</v>
      </c>
      <c r="I75" s="153"/>
      <c r="J75" s="153"/>
      <c r="K75" s="130"/>
      <c r="L75" s="130">
        <f>+H75-I75-J75-K75</f>
        <v>850000</v>
      </c>
      <c r="M75" s="169">
        <f>I75/H75*100</f>
        <v>0</v>
      </c>
      <c r="N75" s="3"/>
      <c r="O75" s="3"/>
    </row>
    <row r="76" spans="1:15" ht="21.75" customHeight="1">
      <c r="A76" s="26"/>
      <c r="B76" s="12"/>
      <c r="C76" s="7"/>
      <c r="D76" s="198"/>
      <c r="E76" s="141"/>
      <c r="F76" s="47"/>
      <c r="G76" s="149"/>
      <c r="H76" s="156"/>
      <c r="I76" s="157"/>
      <c r="J76" s="158"/>
      <c r="K76" s="75"/>
      <c r="L76" s="75"/>
      <c r="M76" s="82"/>
      <c r="N76" s="3"/>
      <c r="O76" s="3"/>
    </row>
    <row r="77" spans="1:13" s="1" customFormat="1" ht="23.25" customHeight="1" thickBot="1">
      <c r="A77" s="48"/>
      <c r="B77" s="12"/>
      <c r="C77" s="6"/>
      <c r="D77" s="97" t="s">
        <v>185</v>
      </c>
      <c r="E77" s="18"/>
      <c r="F77" s="18"/>
      <c r="G77" s="25"/>
      <c r="H77" s="106">
        <f>+H78</f>
        <v>780000</v>
      </c>
      <c r="I77" s="106">
        <f>+I78</f>
        <v>273200</v>
      </c>
      <c r="J77" s="60">
        <f>+J78</f>
        <v>0</v>
      </c>
      <c r="K77" s="60">
        <f>+K78</f>
        <v>0</v>
      </c>
      <c r="L77" s="60">
        <f>+L78</f>
        <v>506800</v>
      </c>
      <c r="M77" s="144">
        <f>I77/H77*100</f>
        <v>35.02564102564102</v>
      </c>
    </row>
    <row r="78" spans="1:15" ht="21.75" customHeight="1" thickTop="1">
      <c r="A78" s="49">
        <v>1</v>
      </c>
      <c r="B78" s="12">
        <v>22001</v>
      </c>
      <c r="C78" s="7">
        <v>600</v>
      </c>
      <c r="D78" s="198" t="s">
        <v>186</v>
      </c>
      <c r="E78" s="141" t="s">
        <v>0</v>
      </c>
      <c r="F78" s="124">
        <v>5611320</v>
      </c>
      <c r="G78" s="125" t="s">
        <v>187</v>
      </c>
      <c r="H78" s="151">
        <v>780000</v>
      </c>
      <c r="I78" s="153">
        <f>96000+98000+79200</f>
        <v>273200</v>
      </c>
      <c r="J78" s="153"/>
      <c r="K78" s="130"/>
      <c r="L78" s="130">
        <f>+H78-I78-J78-K78</f>
        <v>506800</v>
      </c>
      <c r="M78" s="169">
        <f>I78/H78*100</f>
        <v>35.02564102564102</v>
      </c>
      <c r="N78" s="3"/>
      <c r="O78" s="3"/>
    </row>
    <row r="79" spans="1:15" ht="21.75" customHeight="1">
      <c r="A79" s="49"/>
      <c r="B79" s="12"/>
      <c r="C79" s="7"/>
      <c r="D79" s="198"/>
      <c r="E79" s="141"/>
      <c r="F79" s="124"/>
      <c r="G79" s="125"/>
      <c r="H79" s="96"/>
      <c r="I79" s="83"/>
      <c r="J79" s="84"/>
      <c r="K79" s="71"/>
      <c r="L79" s="71"/>
      <c r="M79" s="78"/>
      <c r="N79" s="3"/>
      <c r="O79" s="3"/>
    </row>
    <row r="80" spans="1:15" ht="21.75" customHeight="1">
      <c r="A80" s="26"/>
      <c r="B80" s="12"/>
      <c r="C80" s="7"/>
      <c r="D80" s="198"/>
      <c r="E80" s="141"/>
      <c r="F80" s="47"/>
      <c r="G80" s="149"/>
      <c r="H80" s="120"/>
      <c r="I80" s="121"/>
      <c r="J80" s="122"/>
      <c r="K80" s="74"/>
      <c r="L80" s="74"/>
      <c r="M80" s="80"/>
      <c r="N80" s="3"/>
      <c r="O80" s="3"/>
    </row>
    <row r="81" spans="1:15" ht="21.75" customHeight="1" thickBot="1">
      <c r="A81" s="41" t="s">
        <v>197</v>
      </c>
      <c r="B81" s="37"/>
      <c r="C81" s="38"/>
      <c r="D81" s="13"/>
      <c r="E81" s="13"/>
      <c r="F81" s="13"/>
      <c r="G81" s="110"/>
      <c r="H81" s="257">
        <f>+H83</f>
        <v>291800</v>
      </c>
      <c r="I81" s="257">
        <f>+I83</f>
        <v>291795</v>
      </c>
      <c r="J81" s="258">
        <f>+J83</f>
        <v>0</v>
      </c>
      <c r="K81" s="258">
        <f>+K83</f>
        <v>0</v>
      </c>
      <c r="L81" s="258">
        <f>+L83</f>
        <v>5</v>
      </c>
      <c r="M81" s="259">
        <f>I81/H81*100</f>
        <v>99.9982864976011</v>
      </c>
      <c r="N81" s="3"/>
      <c r="O81" s="3"/>
    </row>
    <row r="82" spans="1:15" ht="24.75" customHeight="1" thickTop="1">
      <c r="A82" s="41"/>
      <c r="B82" s="37"/>
      <c r="C82" s="38"/>
      <c r="D82" s="13"/>
      <c r="E82" s="13"/>
      <c r="F82" s="13"/>
      <c r="G82" s="110"/>
      <c r="H82" s="129"/>
      <c r="I82" s="231"/>
      <c r="J82" s="129"/>
      <c r="K82" s="129"/>
      <c r="L82" s="129"/>
      <c r="M82" s="169"/>
      <c r="N82" s="3"/>
      <c r="O82" s="3"/>
    </row>
    <row r="83" spans="1:13" s="1" customFormat="1" ht="23.25" customHeight="1" thickBot="1">
      <c r="A83" s="48"/>
      <c r="B83" s="12"/>
      <c r="C83" s="6"/>
      <c r="D83" s="97" t="s">
        <v>198</v>
      </c>
      <c r="E83" s="18"/>
      <c r="F83" s="18"/>
      <c r="G83" s="25"/>
      <c r="H83" s="106">
        <f>+H84</f>
        <v>291800</v>
      </c>
      <c r="I83" s="106">
        <f>+I84</f>
        <v>291795</v>
      </c>
      <c r="J83" s="60">
        <f>+J84</f>
        <v>0</v>
      </c>
      <c r="K83" s="60">
        <f>+K84</f>
        <v>0</v>
      </c>
      <c r="L83" s="60">
        <f>+L84</f>
        <v>5</v>
      </c>
      <c r="M83" s="144">
        <f>I83/H83*100</f>
        <v>99.9982864976011</v>
      </c>
    </row>
    <row r="84" spans="1:15" ht="21.75" customHeight="1" thickTop="1">
      <c r="A84" s="49">
        <v>1</v>
      </c>
      <c r="B84" s="12">
        <v>22001</v>
      </c>
      <c r="C84" s="7">
        <v>600</v>
      </c>
      <c r="D84" s="198" t="s">
        <v>199</v>
      </c>
      <c r="E84" s="141" t="s">
        <v>0</v>
      </c>
      <c r="F84" s="124">
        <v>5611500</v>
      </c>
      <c r="G84" s="125" t="s">
        <v>200</v>
      </c>
      <c r="H84" s="151">
        <v>291800</v>
      </c>
      <c r="I84" s="153">
        <f>104600+71195+108000+8000</f>
        <v>291795</v>
      </c>
      <c r="J84" s="153"/>
      <c r="K84" s="130"/>
      <c r="L84" s="130">
        <f>+H84-I84-J84-K84</f>
        <v>5</v>
      </c>
      <c r="M84" s="169">
        <f>I84/H84*100</f>
        <v>99.9982864976011</v>
      </c>
      <c r="N84" s="3"/>
      <c r="O84" s="3"/>
    </row>
    <row r="85" spans="1:15" ht="20.25" customHeight="1">
      <c r="A85" s="243"/>
      <c r="B85" s="244"/>
      <c r="C85" s="245"/>
      <c r="D85" s="246"/>
      <c r="E85" s="247"/>
      <c r="F85" s="248"/>
      <c r="G85" s="249"/>
      <c r="H85" s="250"/>
      <c r="I85" s="251"/>
      <c r="J85" s="252"/>
      <c r="K85" s="253"/>
      <c r="L85" s="253"/>
      <c r="M85" s="254"/>
      <c r="N85" s="3"/>
      <c r="O85" s="3"/>
    </row>
    <row r="86" spans="1:15" ht="26.25" customHeight="1" thickBot="1">
      <c r="A86" s="8"/>
      <c r="B86" s="24" t="s">
        <v>151</v>
      </c>
      <c r="C86" s="6"/>
      <c r="D86" s="24"/>
      <c r="E86" s="10"/>
      <c r="F86" s="13"/>
      <c r="G86" s="16"/>
      <c r="H86" s="208">
        <f>+H88+H96</f>
        <v>29341600</v>
      </c>
      <c r="I86" s="208">
        <f>+I88+I96</f>
        <v>13533927.530000001</v>
      </c>
      <c r="J86" s="208">
        <f>+J88+J96</f>
        <v>1739916.9</v>
      </c>
      <c r="K86" s="208">
        <f>+K88+K96</f>
        <v>0</v>
      </c>
      <c r="L86" s="208">
        <f>+L88+L96</f>
        <v>15807672.469999999</v>
      </c>
      <c r="M86" s="209">
        <f>I86/H86*100</f>
        <v>46.125390333178835</v>
      </c>
      <c r="N86" s="3"/>
      <c r="O86" s="3"/>
    </row>
    <row r="87" spans="1:15" ht="15" customHeight="1" thickTop="1">
      <c r="A87" s="49"/>
      <c r="B87" s="12"/>
      <c r="C87" s="7"/>
      <c r="D87" s="198"/>
      <c r="E87" s="141"/>
      <c r="F87" s="124"/>
      <c r="G87" s="125"/>
      <c r="H87" s="96"/>
      <c r="I87" s="83"/>
      <c r="J87" s="84"/>
      <c r="K87" s="71"/>
      <c r="L87" s="71"/>
      <c r="M87" s="78"/>
      <c r="N87" s="3"/>
      <c r="O87" s="3"/>
    </row>
    <row r="88" spans="1:15" ht="21.75" customHeight="1" thickBot="1">
      <c r="A88" s="41" t="s">
        <v>12</v>
      </c>
      <c r="B88" s="37"/>
      <c r="C88" s="38"/>
      <c r="D88" s="13"/>
      <c r="E88" s="13"/>
      <c r="F88" s="13"/>
      <c r="G88" s="110"/>
      <c r="H88" s="105">
        <f>+H90</f>
        <v>28660000</v>
      </c>
      <c r="I88" s="105">
        <f>+I90</f>
        <v>13533927.530000001</v>
      </c>
      <c r="J88" s="55">
        <f>+J90</f>
        <v>1739916.9</v>
      </c>
      <c r="K88" s="55">
        <f>+K90</f>
        <v>0</v>
      </c>
      <c r="L88" s="55">
        <f>+L90</f>
        <v>15126072.469999999</v>
      </c>
      <c r="M88" s="77">
        <f>I88/H88*100</f>
        <v>47.222357048150734</v>
      </c>
      <c r="N88" s="3"/>
      <c r="O88" s="3"/>
    </row>
    <row r="89" spans="1:13" s="4" customFormat="1" ht="12.75" customHeight="1" thickTop="1">
      <c r="A89" s="111"/>
      <c r="B89" s="12"/>
      <c r="C89" s="7"/>
      <c r="D89" s="39"/>
      <c r="E89" s="141"/>
      <c r="F89" s="47"/>
      <c r="G89" s="149"/>
      <c r="H89" s="112"/>
      <c r="I89" s="115"/>
      <c r="J89" s="71"/>
      <c r="K89" s="71"/>
      <c r="L89" s="71"/>
      <c r="M89" s="78"/>
    </row>
    <row r="90" spans="1:13" s="1" customFormat="1" ht="23.25" customHeight="1" thickBot="1">
      <c r="A90" s="48"/>
      <c r="B90" s="12"/>
      <c r="C90" s="6"/>
      <c r="D90" s="97" t="s">
        <v>156</v>
      </c>
      <c r="E90" s="18"/>
      <c r="F90" s="18"/>
      <c r="G90" s="25" t="s">
        <v>236</v>
      </c>
      <c r="H90" s="106">
        <f>SUM(H91:H94)</f>
        <v>28660000</v>
      </c>
      <c r="I90" s="106">
        <f>SUM(I91:I94)</f>
        <v>13533927.530000001</v>
      </c>
      <c r="J90" s="60">
        <v>1739916.9</v>
      </c>
      <c r="K90" s="60">
        <f>SUM(K91:K94)</f>
        <v>0</v>
      </c>
      <c r="L90" s="60">
        <f>SUM(L91:L94)</f>
        <v>15126072.469999999</v>
      </c>
      <c r="M90" s="144">
        <f>I90/H90*100</f>
        <v>47.222357048150734</v>
      </c>
    </row>
    <row r="91" spans="1:15" ht="21.75" customHeight="1" thickTop="1">
      <c r="A91" s="49">
        <v>1</v>
      </c>
      <c r="B91" s="12">
        <v>22002</v>
      </c>
      <c r="C91" s="7">
        <v>600</v>
      </c>
      <c r="D91" s="198" t="s">
        <v>157</v>
      </c>
      <c r="E91" s="141" t="s">
        <v>158</v>
      </c>
      <c r="F91" s="124">
        <v>5611320</v>
      </c>
      <c r="G91" s="125" t="s">
        <v>159</v>
      </c>
      <c r="H91" s="151">
        <v>25047781</v>
      </c>
      <c r="I91" s="152">
        <f>91620+89400+900+349441.2+29530+4265+8795+234986.4+87675+1774273.75+8500+1476088.13+70200+70200+78000+930660+23820+18713+77325+299305.8+5844950+70200+625247.5+96700+6400+148735+126180+126180+91130+4970+70200+86400+157043.25+95691</f>
        <v>13273725.030000001</v>
      </c>
      <c r="J91" s="153"/>
      <c r="K91" s="130"/>
      <c r="L91" s="130">
        <f>+H91-I91-J91-K91</f>
        <v>11774055.969999999</v>
      </c>
      <c r="M91" s="169">
        <f>I91/H91*100</f>
        <v>52.99361660020902</v>
      </c>
      <c r="N91" s="3"/>
      <c r="O91" s="3"/>
    </row>
    <row r="92" spans="1:15" ht="21.75" customHeight="1">
      <c r="A92" s="49"/>
      <c r="B92" s="12"/>
      <c r="C92" s="7"/>
      <c r="D92" s="198"/>
      <c r="E92" s="141"/>
      <c r="F92" s="124"/>
      <c r="G92" s="125" t="s">
        <v>160</v>
      </c>
      <c r="H92" s="96">
        <v>650008</v>
      </c>
      <c r="I92" s="83"/>
      <c r="J92" s="84"/>
      <c r="K92" s="71"/>
      <c r="L92" s="73">
        <f>+H92-I92-J92-K92</f>
        <v>650008</v>
      </c>
      <c r="M92" s="79">
        <f>I92/H92*100</f>
        <v>0</v>
      </c>
      <c r="N92" s="3"/>
      <c r="O92" s="3"/>
    </row>
    <row r="93" spans="1:15" ht="21.75" customHeight="1">
      <c r="A93" s="49"/>
      <c r="B93" s="12"/>
      <c r="C93" s="7"/>
      <c r="D93" s="198"/>
      <c r="E93" s="141"/>
      <c r="F93" s="124"/>
      <c r="G93" s="125" t="s">
        <v>161</v>
      </c>
      <c r="H93" s="96">
        <v>2430311</v>
      </c>
      <c r="I93" s="83"/>
      <c r="J93" s="84"/>
      <c r="K93" s="71"/>
      <c r="L93" s="73">
        <f>+H93-I93-J93-K93</f>
        <v>2430311</v>
      </c>
      <c r="M93" s="79">
        <f>I93/H93*100</f>
        <v>0</v>
      </c>
      <c r="N93" s="3"/>
      <c r="O93" s="3"/>
    </row>
    <row r="94" spans="1:15" ht="21.75" customHeight="1">
      <c r="A94" s="49"/>
      <c r="B94" s="12"/>
      <c r="C94" s="7"/>
      <c r="D94" s="198"/>
      <c r="E94" s="141"/>
      <c r="F94" s="124"/>
      <c r="G94" s="125" t="s">
        <v>162</v>
      </c>
      <c r="H94" s="96">
        <v>531900</v>
      </c>
      <c r="I94" s="83">
        <v>260202.5</v>
      </c>
      <c r="J94" s="84"/>
      <c r="K94" s="71"/>
      <c r="L94" s="73">
        <f>+H94-I94-J94-K94</f>
        <v>271697.5</v>
      </c>
      <c r="M94" s="79">
        <f>I94/H94*100</f>
        <v>48.91943974431284</v>
      </c>
      <c r="N94" s="3"/>
      <c r="O94" s="3"/>
    </row>
    <row r="95" spans="1:15" ht="21.75" customHeight="1">
      <c r="A95" s="49"/>
      <c r="B95" s="69"/>
      <c r="C95" s="176"/>
      <c r="D95" s="226"/>
      <c r="E95" s="164"/>
      <c r="F95" s="124"/>
      <c r="G95" s="125"/>
      <c r="H95" s="96"/>
      <c r="I95" s="83"/>
      <c r="J95" s="84"/>
      <c r="K95" s="71"/>
      <c r="L95" s="73"/>
      <c r="M95" s="81"/>
      <c r="N95" s="3"/>
      <c r="O95" s="3"/>
    </row>
    <row r="96" spans="1:15" ht="21.75" customHeight="1" thickBot="1">
      <c r="A96" s="41" t="s">
        <v>197</v>
      </c>
      <c r="B96" s="37"/>
      <c r="C96" s="38"/>
      <c r="D96" s="13"/>
      <c r="E96" s="13"/>
      <c r="F96" s="13"/>
      <c r="G96" s="110"/>
      <c r="H96" s="257">
        <f>+H98</f>
        <v>681600</v>
      </c>
      <c r="I96" s="257">
        <f>+I98</f>
        <v>0</v>
      </c>
      <c r="J96" s="258">
        <f>+J98</f>
        <v>0</v>
      </c>
      <c r="K96" s="258">
        <f>+K98</f>
        <v>0</v>
      </c>
      <c r="L96" s="258">
        <f>+L98</f>
        <v>681600</v>
      </c>
      <c r="M96" s="259">
        <f>I96/H96*100</f>
        <v>0</v>
      </c>
      <c r="N96" s="3"/>
      <c r="O96" s="3"/>
    </row>
    <row r="97" spans="1:15" ht="20.25" customHeight="1" thickTop="1">
      <c r="A97" s="41"/>
      <c r="B97" s="37"/>
      <c r="C97" s="38"/>
      <c r="D97" s="13"/>
      <c r="E97" s="13"/>
      <c r="F97" s="13"/>
      <c r="G97" s="110"/>
      <c r="H97" s="129"/>
      <c r="I97" s="231"/>
      <c r="J97" s="129"/>
      <c r="K97" s="129"/>
      <c r="L97" s="129"/>
      <c r="M97" s="169"/>
      <c r="N97" s="3"/>
      <c r="O97" s="3"/>
    </row>
    <row r="98" spans="1:13" s="1" customFormat="1" ht="23.25" customHeight="1" thickBot="1">
      <c r="A98" s="48"/>
      <c r="B98" s="12"/>
      <c r="C98" s="6"/>
      <c r="D98" s="97" t="s">
        <v>259</v>
      </c>
      <c r="E98" s="18"/>
      <c r="F98" s="18"/>
      <c r="G98" s="25"/>
      <c r="H98" s="106">
        <f>+H99</f>
        <v>681600</v>
      </c>
      <c r="I98" s="106">
        <f>+I99</f>
        <v>0</v>
      </c>
      <c r="J98" s="60">
        <f>+J99</f>
        <v>0</v>
      </c>
      <c r="K98" s="60">
        <f>+K99</f>
        <v>0</v>
      </c>
      <c r="L98" s="60">
        <f>+L99</f>
        <v>681600</v>
      </c>
      <c r="M98" s="144">
        <f>I98/H98*100</f>
        <v>0</v>
      </c>
    </row>
    <row r="99" spans="1:15" ht="21.75" customHeight="1" thickTop="1">
      <c r="A99" s="46">
        <v>1</v>
      </c>
      <c r="B99" s="92">
        <v>22002</v>
      </c>
      <c r="C99" s="93">
        <v>900</v>
      </c>
      <c r="D99" s="255" t="s">
        <v>260</v>
      </c>
      <c r="E99" s="200" t="s">
        <v>152</v>
      </c>
      <c r="F99" s="118">
        <v>5611500</v>
      </c>
      <c r="G99" s="201" t="s">
        <v>261</v>
      </c>
      <c r="H99" s="278">
        <v>681600</v>
      </c>
      <c r="I99" s="279"/>
      <c r="J99" s="279"/>
      <c r="K99" s="280"/>
      <c r="L99" s="280">
        <f>+H99-I99-J99-K99</f>
        <v>681600</v>
      </c>
      <c r="M99" s="281">
        <f>I99/H99*100</f>
        <v>0</v>
      </c>
      <c r="N99" s="3"/>
      <c r="O99" s="3"/>
    </row>
    <row r="100" spans="1:15" ht="21.75" customHeight="1">
      <c r="A100" s="270"/>
      <c r="B100" s="271"/>
      <c r="C100" s="272"/>
      <c r="D100" s="273"/>
      <c r="E100" s="274"/>
      <c r="F100" s="275"/>
      <c r="G100" s="276"/>
      <c r="H100" s="96"/>
      <c r="I100" s="83"/>
      <c r="J100" s="84"/>
      <c r="K100" s="71"/>
      <c r="L100" s="71"/>
      <c r="M100" s="82"/>
      <c r="N100" s="3"/>
      <c r="O100" s="3"/>
    </row>
    <row r="101" spans="1:15" ht="21.75" customHeight="1">
      <c r="A101" s="26"/>
      <c r="B101" s="12"/>
      <c r="C101" s="7"/>
      <c r="D101" s="198"/>
      <c r="E101" s="282"/>
      <c r="F101" s="47"/>
      <c r="G101" s="149"/>
      <c r="H101" s="250"/>
      <c r="I101" s="251"/>
      <c r="J101" s="252"/>
      <c r="K101" s="253"/>
      <c r="L101" s="253"/>
      <c r="M101" s="254"/>
      <c r="N101" s="3"/>
      <c r="O101" s="3"/>
    </row>
    <row r="102" spans="1:15" ht="21.75" customHeight="1" thickBot="1">
      <c r="A102" s="8"/>
      <c r="B102" s="24" t="s">
        <v>154</v>
      </c>
      <c r="C102" s="6"/>
      <c r="D102" s="24"/>
      <c r="E102" s="10"/>
      <c r="F102" s="13"/>
      <c r="G102" s="16"/>
      <c r="H102" s="208">
        <f>+H104+H147</f>
        <v>65729000</v>
      </c>
      <c r="I102" s="208">
        <f>+I104+I147</f>
        <v>13004466.65</v>
      </c>
      <c r="J102" s="208">
        <f>+J104+J147</f>
        <v>4293088.25</v>
      </c>
      <c r="K102" s="208">
        <f>+K104+K147</f>
        <v>0</v>
      </c>
      <c r="L102" s="208">
        <f>+L104+L147</f>
        <v>51021485.35</v>
      </c>
      <c r="M102" s="233">
        <f>I102/H102*100</f>
        <v>19.78497565762449</v>
      </c>
      <c r="N102" s="3"/>
      <c r="O102" s="3"/>
    </row>
    <row r="103" spans="1:15" ht="14.25" customHeight="1" thickTop="1">
      <c r="A103" s="49"/>
      <c r="B103" s="69"/>
      <c r="C103" s="176"/>
      <c r="D103" s="226"/>
      <c r="E103" s="164"/>
      <c r="F103" s="124"/>
      <c r="G103" s="125"/>
      <c r="H103" s="56"/>
      <c r="I103" s="62"/>
      <c r="J103" s="72"/>
      <c r="K103" s="73"/>
      <c r="L103" s="73"/>
      <c r="M103" s="81"/>
      <c r="N103" s="3"/>
      <c r="O103" s="3"/>
    </row>
    <row r="104" spans="1:15" ht="21.75" customHeight="1" thickBot="1">
      <c r="A104" s="41" t="s">
        <v>12</v>
      </c>
      <c r="B104" s="37"/>
      <c r="C104" s="38"/>
      <c r="D104" s="13"/>
      <c r="E104" s="13"/>
      <c r="F104" s="13"/>
      <c r="G104" s="110"/>
      <c r="H104" s="105">
        <f>+H106+H110+H114+H118+H130+H126+H122</f>
        <v>65221000</v>
      </c>
      <c r="I104" s="105">
        <f>+I106+I110+I114+I118+I130+I126+I122</f>
        <v>12704466.65</v>
      </c>
      <c r="J104" s="55">
        <f>+J106+J110+J114+J118+J130+J126+J122</f>
        <v>4293088.25</v>
      </c>
      <c r="K104" s="55">
        <f>+K106+K110+K114+K118+K130+K126+K122</f>
        <v>0</v>
      </c>
      <c r="L104" s="55">
        <f>+L106+L110+L114+L118+L130+L126+L122</f>
        <v>50813485.35</v>
      </c>
      <c r="M104" s="77">
        <f>I104/H104*100</f>
        <v>19.479104352892474</v>
      </c>
      <c r="N104" s="3"/>
      <c r="O104" s="3"/>
    </row>
    <row r="105" spans="1:15" ht="12.75" customHeight="1" thickTop="1">
      <c r="A105" s="41"/>
      <c r="B105" s="37"/>
      <c r="C105" s="38"/>
      <c r="D105" s="13"/>
      <c r="E105" s="13"/>
      <c r="F105" s="13"/>
      <c r="G105" s="110"/>
      <c r="H105" s="129"/>
      <c r="I105" s="231"/>
      <c r="J105" s="129"/>
      <c r="K105" s="129"/>
      <c r="L105" s="129"/>
      <c r="M105" s="169"/>
      <c r="N105" s="3"/>
      <c r="O105" s="3"/>
    </row>
    <row r="106" spans="1:13" s="1" customFormat="1" ht="23.25" customHeight="1" thickBot="1">
      <c r="A106" s="48"/>
      <c r="B106" s="12"/>
      <c r="C106" s="6"/>
      <c r="D106" s="97" t="s">
        <v>246</v>
      </c>
      <c r="E106" s="18"/>
      <c r="F106" s="18"/>
      <c r="G106" s="25"/>
      <c r="H106" s="106">
        <f>+H107</f>
        <v>6386000</v>
      </c>
      <c r="I106" s="106">
        <f>+I107</f>
        <v>253775</v>
      </c>
      <c r="J106" s="60">
        <f>+J107</f>
        <v>17023</v>
      </c>
      <c r="K106" s="60">
        <f>+K107</f>
        <v>0</v>
      </c>
      <c r="L106" s="60">
        <f>+L107</f>
        <v>6115202</v>
      </c>
      <c r="M106" s="144">
        <f>I106/H106*100</f>
        <v>3.9739273410585656</v>
      </c>
    </row>
    <row r="107" spans="1:15" ht="21.75" customHeight="1" thickTop="1">
      <c r="A107" s="49">
        <v>1</v>
      </c>
      <c r="B107" s="12">
        <v>22003</v>
      </c>
      <c r="C107" s="7">
        <v>600</v>
      </c>
      <c r="D107" s="198" t="s">
        <v>247</v>
      </c>
      <c r="E107" s="141" t="s">
        <v>177</v>
      </c>
      <c r="F107" s="124">
        <v>5611320</v>
      </c>
      <c r="G107" s="125" t="s">
        <v>248</v>
      </c>
      <c r="H107" s="151">
        <v>6386000</v>
      </c>
      <c r="I107" s="153">
        <f>92220+83400+13355+64800</f>
        <v>253775</v>
      </c>
      <c r="J107" s="153">
        <v>17023</v>
      </c>
      <c r="K107" s="130"/>
      <c r="L107" s="130">
        <f>+H107-I107-J107-K107</f>
        <v>6115202</v>
      </c>
      <c r="M107" s="169">
        <f>I107/H107*100</f>
        <v>3.9739273410585656</v>
      </c>
      <c r="N107" s="3"/>
      <c r="O107" s="3"/>
    </row>
    <row r="108" spans="1:15" ht="21.75" customHeight="1">
      <c r="A108" s="41"/>
      <c r="B108" s="37"/>
      <c r="C108" s="38"/>
      <c r="D108" s="13"/>
      <c r="E108" s="13"/>
      <c r="F108" s="13"/>
      <c r="G108" s="110" t="s">
        <v>249</v>
      </c>
      <c r="H108" s="65"/>
      <c r="I108" s="98"/>
      <c r="J108" s="65"/>
      <c r="K108" s="65"/>
      <c r="L108" s="65"/>
      <c r="M108" s="79"/>
      <c r="N108" s="3"/>
      <c r="O108" s="3"/>
    </row>
    <row r="109" spans="1:15" ht="12.75" customHeight="1">
      <c r="A109" s="41"/>
      <c r="B109" s="37"/>
      <c r="C109" s="38"/>
      <c r="D109" s="13"/>
      <c r="E109" s="13"/>
      <c r="F109" s="13"/>
      <c r="G109" s="110"/>
      <c r="H109" s="239"/>
      <c r="I109" s="260"/>
      <c r="J109" s="239"/>
      <c r="K109" s="239"/>
      <c r="L109" s="239"/>
      <c r="M109" s="81"/>
      <c r="N109" s="3"/>
      <c r="O109" s="3"/>
    </row>
    <row r="110" spans="1:13" s="1" customFormat="1" ht="23.25" customHeight="1" thickBot="1">
      <c r="A110" s="48"/>
      <c r="B110" s="12"/>
      <c r="C110" s="6"/>
      <c r="D110" s="97" t="s">
        <v>250</v>
      </c>
      <c r="E110" s="18"/>
      <c r="F110" s="18"/>
      <c r="G110" s="25"/>
      <c r="H110" s="106">
        <f>+H111</f>
        <v>6822000</v>
      </c>
      <c r="I110" s="106">
        <f>+I111</f>
        <v>170540</v>
      </c>
      <c r="J110" s="60">
        <f>+J111</f>
        <v>72080</v>
      </c>
      <c r="K110" s="60">
        <f>+K111</f>
        <v>0</v>
      </c>
      <c r="L110" s="60">
        <f>+L111</f>
        <v>6579380</v>
      </c>
      <c r="M110" s="144">
        <f>I110/H110*100</f>
        <v>2.4998534154206977</v>
      </c>
    </row>
    <row r="111" spans="1:15" ht="21.75" customHeight="1" thickTop="1">
      <c r="A111" s="49">
        <v>1</v>
      </c>
      <c r="B111" s="12">
        <v>22003</v>
      </c>
      <c r="C111" s="7">
        <v>600</v>
      </c>
      <c r="D111" s="198" t="s">
        <v>251</v>
      </c>
      <c r="E111" s="141" t="s">
        <v>177</v>
      </c>
      <c r="F111" s="124">
        <v>5611320</v>
      </c>
      <c r="G111" s="125" t="s">
        <v>252</v>
      </c>
      <c r="H111" s="151">
        <v>6822000</v>
      </c>
      <c r="I111" s="153">
        <f>96900+73640</f>
        <v>170540</v>
      </c>
      <c r="J111" s="153">
        <v>72080</v>
      </c>
      <c r="K111" s="130"/>
      <c r="L111" s="130">
        <f>+H111-I111-J111-K111</f>
        <v>6579380</v>
      </c>
      <c r="M111" s="169">
        <f>I111/H111*100</f>
        <v>2.4998534154206977</v>
      </c>
      <c r="N111" s="3"/>
      <c r="O111" s="3"/>
    </row>
    <row r="112" spans="1:15" ht="21.75" customHeight="1">
      <c r="A112" s="41"/>
      <c r="B112" s="37"/>
      <c r="C112" s="38"/>
      <c r="D112" s="13"/>
      <c r="E112" s="13"/>
      <c r="F112" s="13"/>
      <c r="G112" s="110" t="s">
        <v>253</v>
      </c>
      <c r="H112" s="229"/>
      <c r="I112" s="230"/>
      <c r="J112" s="229"/>
      <c r="K112" s="229"/>
      <c r="L112" s="229"/>
      <c r="M112" s="82"/>
      <c r="N112" s="3"/>
      <c r="O112" s="3"/>
    </row>
    <row r="113" spans="1:15" ht="17.25" customHeight="1">
      <c r="A113" s="41"/>
      <c r="B113" s="37"/>
      <c r="C113" s="38"/>
      <c r="D113" s="13"/>
      <c r="E113" s="13"/>
      <c r="F113" s="13"/>
      <c r="G113" s="110"/>
      <c r="H113" s="229"/>
      <c r="I113" s="230"/>
      <c r="J113" s="229"/>
      <c r="K113" s="229"/>
      <c r="L113" s="229"/>
      <c r="M113" s="82"/>
      <c r="N113" s="3"/>
      <c r="O113" s="3"/>
    </row>
    <row r="114" spans="1:13" s="1" customFormat="1" ht="23.25" customHeight="1" thickBot="1">
      <c r="A114" s="48"/>
      <c r="B114" s="12"/>
      <c r="C114" s="6"/>
      <c r="D114" s="97" t="s">
        <v>254</v>
      </c>
      <c r="E114" s="18"/>
      <c r="F114" s="18"/>
      <c r="G114" s="25"/>
      <c r="H114" s="106">
        <f>+H115</f>
        <v>8784000</v>
      </c>
      <c r="I114" s="106">
        <f>+I115</f>
        <v>84900</v>
      </c>
      <c r="J114" s="60">
        <f>+J115</f>
        <v>0</v>
      </c>
      <c r="K114" s="60">
        <f>+K115</f>
        <v>0</v>
      </c>
      <c r="L114" s="60">
        <f>+L115</f>
        <v>8699100</v>
      </c>
      <c r="M114" s="144">
        <f>I114/H114*100</f>
        <v>0.9665300546448088</v>
      </c>
    </row>
    <row r="115" spans="1:15" ht="21.75" customHeight="1" thickTop="1">
      <c r="A115" s="49">
        <v>1</v>
      </c>
      <c r="B115" s="12">
        <v>22003</v>
      </c>
      <c r="C115" s="7">
        <v>600</v>
      </c>
      <c r="D115" s="198" t="s">
        <v>255</v>
      </c>
      <c r="E115" s="141" t="s">
        <v>177</v>
      </c>
      <c r="F115" s="124">
        <v>5611320</v>
      </c>
      <c r="G115" s="125" t="s">
        <v>256</v>
      </c>
      <c r="H115" s="151">
        <v>8784000</v>
      </c>
      <c r="I115" s="153">
        <v>84900</v>
      </c>
      <c r="J115" s="153"/>
      <c r="K115" s="130"/>
      <c r="L115" s="130">
        <f>+H115-I115-J115-K115</f>
        <v>8699100</v>
      </c>
      <c r="M115" s="169">
        <f>I115/H115*100</f>
        <v>0.9665300546448088</v>
      </c>
      <c r="N115" s="3"/>
      <c r="O115" s="3"/>
    </row>
    <row r="116" spans="1:15" ht="21.75" customHeight="1">
      <c r="A116" s="41"/>
      <c r="B116" s="37"/>
      <c r="C116" s="38"/>
      <c r="D116" s="13"/>
      <c r="E116" s="13"/>
      <c r="F116" s="13"/>
      <c r="G116" s="110" t="s">
        <v>257</v>
      </c>
      <c r="H116" s="229"/>
      <c r="I116" s="230"/>
      <c r="J116" s="229"/>
      <c r="K116" s="229"/>
      <c r="L116" s="229"/>
      <c r="M116" s="82"/>
      <c r="N116" s="3"/>
      <c r="O116" s="3"/>
    </row>
    <row r="117" spans="1:15" ht="16.5" customHeight="1">
      <c r="A117" s="41"/>
      <c r="B117" s="37"/>
      <c r="C117" s="38"/>
      <c r="D117" s="13"/>
      <c r="E117" s="13"/>
      <c r="F117" s="13"/>
      <c r="G117" s="110"/>
      <c r="H117" s="229"/>
      <c r="I117" s="230"/>
      <c r="J117" s="229"/>
      <c r="K117" s="229"/>
      <c r="L117" s="229"/>
      <c r="M117" s="82"/>
      <c r="N117" s="3"/>
      <c r="O117" s="3"/>
    </row>
    <row r="118" spans="1:13" s="1" customFormat="1" ht="23.25" customHeight="1" thickBot="1">
      <c r="A118" s="48"/>
      <c r="B118" s="12"/>
      <c r="C118" s="6"/>
      <c r="D118" s="97" t="s">
        <v>188</v>
      </c>
      <c r="E118" s="18"/>
      <c r="F118" s="18"/>
      <c r="G118" s="25" t="s">
        <v>234</v>
      </c>
      <c r="H118" s="106">
        <f>+H119</f>
        <v>8814000</v>
      </c>
      <c r="I118" s="106">
        <f>+I119</f>
        <v>4886138</v>
      </c>
      <c r="J118" s="60">
        <f>+J119</f>
        <v>1226315</v>
      </c>
      <c r="K118" s="60">
        <f>+K119</f>
        <v>0</v>
      </c>
      <c r="L118" s="60">
        <f>+L119</f>
        <v>2701547</v>
      </c>
      <c r="M118" s="144">
        <f>I118/H118*100</f>
        <v>55.43610165645564</v>
      </c>
    </row>
    <row r="119" spans="1:15" ht="21.75" customHeight="1" thickTop="1">
      <c r="A119" s="49">
        <v>1</v>
      </c>
      <c r="B119" s="12">
        <v>22003</v>
      </c>
      <c r="C119" s="7">
        <v>600</v>
      </c>
      <c r="D119" s="198" t="s">
        <v>189</v>
      </c>
      <c r="E119" s="141" t="s">
        <v>177</v>
      </c>
      <c r="F119" s="124">
        <v>5611320</v>
      </c>
      <c r="G119" s="125" t="s">
        <v>190</v>
      </c>
      <c r="H119" s="151">
        <v>8814000</v>
      </c>
      <c r="I119" s="153">
        <f>7369+79104+99484+95100+75200+83310+77500+334500+223482.8+95192.8+86550+401400+769000+92220+177076.2+604500+579150+23220+300939.4+279874.8+82375+82650+21576+17840+88030+95405+14089</f>
        <v>4886138</v>
      </c>
      <c r="J119" s="153">
        <v>1226315</v>
      </c>
      <c r="K119" s="130"/>
      <c r="L119" s="130">
        <f>+H119-I119-J119-K119</f>
        <v>2701547</v>
      </c>
      <c r="M119" s="169">
        <f>I119/H119*100</f>
        <v>55.43610165645564</v>
      </c>
      <c r="N119" s="3"/>
      <c r="O119" s="3"/>
    </row>
    <row r="120" spans="1:15" ht="21.75" customHeight="1">
      <c r="A120" s="49"/>
      <c r="B120" s="69"/>
      <c r="C120" s="176"/>
      <c r="D120" s="226"/>
      <c r="E120" s="164"/>
      <c r="F120" s="124"/>
      <c r="G120" s="125" t="s">
        <v>191</v>
      </c>
      <c r="H120" s="56"/>
      <c r="I120" s="62"/>
      <c r="J120" s="72"/>
      <c r="K120" s="73"/>
      <c r="L120" s="73"/>
      <c r="M120" s="81"/>
      <c r="N120" s="3"/>
      <c r="O120" s="3"/>
    </row>
    <row r="121" spans="1:15" ht="21.75" customHeight="1">
      <c r="A121" s="49"/>
      <c r="B121" s="69"/>
      <c r="C121" s="176"/>
      <c r="D121" s="226"/>
      <c r="E121" s="164"/>
      <c r="F121" s="124"/>
      <c r="G121" s="125"/>
      <c r="H121" s="56"/>
      <c r="I121" s="62"/>
      <c r="J121" s="72"/>
      <c r="K121" s="73"/>
      <c r="L121" s="73"/>
      <c r="M121" s="81"/>
      <c r="N121" s="3"/>
      <c r="O121" s="3"/>
    </row>
    <row r="122" spans="1:13" s="1" customFormat="1" ht="23.25" customHeight="1" thickBot="1">
      <c r="A122" s="48"/>
      <c r="B122" s="12"/>
      <c r="C122" s="6"/>
      <c r="D122" s="97" t="s">
        <v>270</v>
      </c>
      <c r="E122" s="18"/>
      <c r="F122" s="18"/>
      <c r="G122" s="25"/>
      <c r="H122" s="106">
        <f>+H123</f>
        <v>8963000</v>
      </c>
      <c r="I122" s="106">
        <f>+I123</f>
        <v>0</v>
      </c>
      <c r="J122" s="60">
        <f>+J123</f>
        <v>259890</v>
      </c>
      <c r="K122" s="60">
        <f>+K123</f>
        <v>0</v>
      </c>
      <c r="L122" s="60">
        <f>+L123</f>
        <v>8703110</v>
      </c>
      <c r="M122" s="144">
        <f>I122/H122*100</f>
        <v>0</v>
      </c>
    </row>
    <row r="123" spans="1:15" ht="21.75" customHeight="1" thickTop="1">
      <c r="A123" s="49">
        <v>1</v>
      </c>
      <c r="B123" s="12">
        <v>22003</v>
      </c>
      <c r="C123" s="7">
        <v>600</v>
      </c>
      <c r="D123" s="198" t="s">
        <v>271</v>
      </c>
      <c r="E123" s="141" t="s">
        <v>177</v>
      </c>
      <c r="F123" s="124">
        <v>5611320</v>
      </c>
      <c r="G123" s="125" t="s">
        <v>272</v>
      </c>
      <c r="H123" s="151">
        <v>8963000</v>
      </c>
      <c r="I123" s="153"/>
      <c r="J123" s="153">
        <v>259890</v>
      </c>
      <c r="K123" s="130"/>
      <c r="L123" s="130">
        <f>+H123-I123-J123-K123</f>
        <v>8703110</v>
      </c>
      <c r="M123" s="169">
        <f>I123/H123*100</f>
        <v>0</v>
      </c>
      <c r="N123" s="3"/>
      <c r="O123" s="3"/>
    </row>
    <row r="124" spans="1:15" ht="21.75" customHeight="1">
      <c r="A124" s="49"/>
      <c r="B124" s="69"/>
      <c r="C124" s="176"/>
      <c r="D124" s="226"/>
      <c r="E124" s="164"/>
      <c r="F124" s="124"/>
      <c r="G124" s="125"/>
      <c r="H124" s="56"/>
      <c r="I124" s="62"/>
      <c r="J124" s="72"/>
      <c r="K124" s="73"/>
      <c r="L124" s="73"/>
      <c r="M124" s="81"/>
      <c r="N124" s="3"/>
      <c r="O124" s="3"/>
    </row>
    <row r="125" spans="1:15" ht="14.25" customHeight="1">
      <c r="A125" s="49"/>
      <c r="B125" s="69"/>
      <c r="C125" s="176"/>
      <c r="D125" s="226"/>
      <c r="E125" s="164"/>
      <c r="F125" s="124"/>
      <c r="G125" s="125"/>
      <c r="H125" s="56"/>
      <c r="I125" s="62"/>
      <c r="J125" s="72"/>
      <c r="K125" s="73"/>
      <c r="L125" s="73"/>
      <c r="M125" s="81"/>
      <c r="N125" s="3"/>
      <c r="O125" s="3"/>
    </row>
    <row r="126" spans="1:13" s="1" customFormat="1" ht="23.25" customHeight="1" thickBot="1">
      <c r="A126" s="48"/>
      <c r="B126" s="12"/>
      <c r="C126" s="6"/>
      <c r="D126" s="97" t="s">
        <v>265</v>
      </c>
      <c r="E126" s="18"/>
      <c r="F126" s="18"/>
      <c r="G126" s="25"/>
      <c r="H126" s="106">
        <f>+H127</f>
        <v>9707000</v>
      </c>
      <c r="I126" s="106">
        <f>+I127</f>
        <v>0</v>
      </c>
      <c r="J126" s="60">
        <f>+J127</f>
        <v>127740</v>
      </c>
      <c r="K126" s="60">
        <f>+K127</f>
        <v>0</v>
      </c>
      <c r="L126" s="60">
        <f>+L127</f>
        <v>9579260</v>
      </c>
      <c r="M126" s="144">
        <f>I126/H126*100</f>
        <v>0</v>
      </c>
    </row>
    <row r="127" spans="1:15" ht="21.75" customHeight="1" thickTop="1">
      <c r="A127" s="49">
        <v>1</v>
      </c>
      <c r="B127" s="12">
        <v>22003</v>
      </c>
      <c r="C127" s="7">
        <v>600</v>
      </c>
      <c r="D127" s="198" t="s">
        <v>266</v>
      </c>
      <c r="E127" s="141" t="s">
        <v>177</v>
      </c>
      <c r="F127" s="124">
        <v>5611320</v>
      </c>
      <c r="G127" s="125" t="s">
        <v>267</v>
      </c>
      <c r="H127" s="151">
        <v>9707000</v>
      </c>
      <c r="I127" s="153"/>
      <c r="J127" s="153">
        <v>127740</v>
      </c>
      <c r="K127" s="130"/>
      <c r="L127" s="130">
        <f>+H127-I127-J127-K127</f>
        <v>9579260</v>
      </c>
      <c r="M127" s="169">
        <f>I127/H127*100</f>
        <v>0</v>
      </c>
      <c r="N127" s="3"/>
      <c r="O127" s="3"/>
    </row>
    <row r="128" spans="1:15" ht="21.75" customHeight="1">
      <c r="A128" s="49"/>
      <c r="B128" s="69"/>
      <c r="C128" s="176"/>
      <c r="D128" s="226"/>
      <c r="E128" s="164"/>
      <c r="F128" s="124"/>
      <c r="G128" s="125" t="s">
        <v>268</v>
      </c>
      <c r="H128" s="56"/>
      <c r="I128" s="62"/>
      <c r="J128" s="72"/>
      <c r="K128" s="73"/>
      <c r="L128" s="73"/>
      <c r="M128" s="81"/>
      <c r="N128" s="3"/>
      <c r="O128" s="3"/>
    </row>
    <row r="129" spans="1:15" ht="14.25" customHeight="1">
      <c r="A129" s="49"/>
      <c r="B129" s="69"/>
      <c r="C129" s="176"/>
      <c r="D129" s="226"/>
      <c r="E129" s="164"/>
      <c r="F129" s="124"/>
      <c r="G129" s="125"/>
      <c r="H129" s="156"/>
      <c r="I129" s="157"/>
      <c r="J129" s="158"/>
      <c r="K129" s="75"/>
      <c r="L129" s="75"/>
      <c r="M129" s="82"/>
      <c r="N129" s="3"/>
      <c r="O129" s="3"/>
    </row>
    <row r="130" spans="1:13" s="1" customFormat="1" ht="23.25" customHeight="1" thickBot="1">
      <c r="A130" s="48"/>
      <c r="B130" s="12"/>
      <c r="C130" s="6"/>
      <c r="D130" s="97" t="s">
        <v>206</v>
      </c>
      <c r="E130" s="18"/>
      <c r="F130" s="18"/>
      <c r="G130" s="25" t="s">
        <v>234</v>
      </c>
      <c r="H130" s="106">
        <f>SUM(H131:H144)</f>
        <v>15745000</v>
      </c>
      <c r="I130" s="106">
        <f>SUM(I131:I144)</f>
        <v>7309113.65</v>
      </c>
      <c r="J130" s="60">
        <v>2590040.25</v>
      </c>
      <c r="K130" s="60">
        <f>SUM(K131:K144)</f>
        <v>0</v>
      </c>
      <c r="L130" s="60">
        <f>SUM(L131:L144)</f>
        <v>8435886.35</v>
      </c>
      <c r="M130" s="144">
        <f>I130/H130*100</f>
        <v>46.42180787551604</v>
      </c>
    </row>
    <row r="131" spans="1:15" ht="21.75" customHeight="1" thickTop="1">
      <c r="A131" s="49">
        <v>1</v>
      </c>
      <c r="B131" s="12">
        <v>22003</v>
      </c>
      <c r="C131" s="7">
        <v>600</v>
      </c>
      <c r="D131" s="198" t="s">
        <v>207</v>
      </c>
      <c r="E131" s="141" t="s">
        <v>177</v>
      </c>
      <c r="F131" s="124">
        <v>5611320</v>
      </c>
      <c r="G131" s="125" t="s">
        <v>208</v>
      </c>
      <c r="H131" s="151">
        <v>2319000</v>
      </c>
      <c r="I131" s="153">
        <f>76000+30540+15370+21626+90344.2+128871+222194</f>
        <v>584945.2</v>
      </c>
      <c r="J131" s="153"/>
      <c r="K131" s="130"/>
      <c r="L131" s="130">
        <f>+H131-I131-J131-K131</f>
        <v>1734054.8</v>
      </c>
      <c r="M131" s="169">
        <f>I131/H131*100</f>
        <v>25.224027598102627</v>
      </c>
      <c r="N131" s="3"/>
      <c r="O131" s="3"/>
    </row>
    <row r="132" spans="1:15" ht="21.75" customHeight="1">
      <c r="A132" s="26">
        <v>2</v>
      </c>
      <c r="B132" s="12">
        <v>22003</v>
      </c>
      <c r="C132" s="7">
        <v>600</v>
      </c>
      <c r="D132" s="198" t="s">
        <v>207</v>
      </c>
      <c r="E132" s="141" t="s">
        <v>177</v>
      </c>
      <c r="F132" s="47">
        <v>5611320</v>
      </c>
      <c r="G132" s="149" t="s">
        <v>209</v>
      </c>
      <c r="H132" s="56">
        <v>956000</v>
      </c>
      <c r="I132" s="62">
        <f>33383.84+88971+122600+66409.2+90624+60372+55495.8+5680+5350</f>
        <v>528885.84</v>
      </c>
      <c r="J132" s="72"/>
      <c r="K132" s="73"/>
      <c r="L132" s="73">
        <f aca="true" t="shared" si="1" ref="L132:L143">+H132-I132-J132-K132</f>
        <v>427114.16000000003</v>
      </c>
      <c r="M132" s="79">
        <f aca="true" t="shared" si="2" ref="M132:M143">I132/H132*100</f>
        <v>55.32278661087866</v>
      </c>
      <c r="N132" s="3"/>
      <c r="O132" s="3"/>
    </row>
    <row r="133" spans="1:15" ht="21.75" customHeight="1">
      <c r="A133" s="26">
        <v>3</v>
      </c>
      <c r="B133" s="12">
        <v>22003</v>
      </c>
      <c r="C133" s="7">
        <v>600</v>
      </c>
      <c r="D133" s="198" t="s">
        <v>207</v>
      </c>
      <c r="E133" s="141" t="s">
        <v>177</v>
      </c>
      <c r="F133" s="47">
        <v>5611320</v>
      </c>
      <c r="G133" s="149" t="s">
        <v>210</v>
      </c>
      <c r="H133" s="56">
        <v>1911000</v>
      </c>
      <c r="I133" s="62">
        <f>82980.43+63450+114601.8+294500+265680+46110+83570+108750+152842+36455.4+51084+8195.6+6147</f>
        <v>1314366.23</v>
      </c>
      <c r="J133" s="72"/>
      <c r="K133" s="73"/>
      <c r="L133" s="73">
        <f t="shared" si="1"/>
        <v>596633.77</v>
      </c>
      <c r="M133" s="79">
        <f t="shared" si="2"/>
        <v>68.77897592883308</v>
      </c>
      <c r="N133" s="3"/>
      <c r="O133" s="3"/>
    </row>
    <row r="134" spans="1:15" ht="21.75" customHeight="1">
      <c r="A134" s="46">
        <v>4</v>
      </c>
      <c r="B134" s="92">
        <v>22003</v>
      </c>
      <c r="C134" s="93">
        <v>600</v>
      </c>
      <c r="D134" s="255" t="s">
        <v>207</v>
      </c>
      <c r="E134" s="200" t="s">
        <v>177</v>
      </c>
      <c r="F134" s="118">
        <v>5611320</v>
      </c>
      <c r="G134" s="256" t="s">
        <v>211</v>
      </c>
      <c r="H134" s="120">
        <v>482000</v>
      </c>
      <c r="I134" s="121">
        <f>99851.55+14200+18705+38099.33+9360+24613.2+71517.6+50566+3960+65016+4797</f>
        <v>400685.68000000005</v>
      </c>
      <c r="J134" s="122"/>
      <c r="K134" s="74"/>
      <c r="L134" s="74">
        <f t="shared" si="1"/>
        <v>81314.31999999995</v>
      </c>
      <c r="M134" s="80">
        <f t="shared" si="2"/>
        <v>83.12980912863071</v>
      </c>
      <c r="N134" s="3"/>
      <c r="O134" s="3"/>
    </row>
    <row r="135" spans="1:15" ht="21.75" customHeight="1">
      <c r="A135" s="243">
        <v>5</v>
      </c>
      <c r="B135" s="244">
        <v>22003</v>
      </c>
      <c r="C135" s="245">
        <v>600</v>
      </c>
      <c r="D135" s="246" t="s">
        <v>207</v>
      </c>
      <c r="E135" s="277" t="s">
        <v>177</v>
      </c>
      <c r="F135" s="248">
        <v>5611320</v>
      </c>
      <c r="G135" s="283" t="s">
        <v>212</v>
      </c>
      <c r="H135" s="96">
        <v>1924000</v>
      </c>
      <c r="I135" s="83">
        <f>30540+32850+80800+27864+79960+635377.6+55600</f>
        <v>942991.6</v>
      </c>
      <c r="J135" s="84"/>
      <c r="K135" s="71"/>
      <c r="L135" s="71">
        <f t="shared" si="1"/>
        <v>981008.4</v>
      </c>
      <c r="M135" s="78">
        <f t="shared" si="2"/>
        <v>49.012037422037416</v>
      </c>
      <c r="N135" s="3"/>
      <c r="O135" s="3"/>
    </row>
    <row r="136" spans="1:15" ht="21.75" customHeight="1">
      <c r="A136" s="49">
        <v>6</v>
      </c>
      <c r="B136" s="12">
        <v>22003</v>
      </c>
      <c r="C136" s="7">
        <v>600</v>
      </c>
      <c r="D136" s="198" t="s">
        <v>207</v>
      </c>
      <c r="E136" s="141" t="s">
        <v>177</v>
      </c>
      <c r="F136" s="124">
        <v>5611320</v>
      </c>
      <c r="G136" s="227" t="s">
        <v>213</v>
      </c>
      <c r="H136" s="96">
        <v>638000</v>
      </c>
      <c r="I136" s="83">
        <f>6116.62+3909.72+2640.33+2695.08+4306.4+1790+359000+69995+4480+77142+31928+6897.6</f>
        <v>570900.75</v>
      </c>
      <c r="J136" s="84"/>
      <c r="K136" s="71"/>
      <c r="L136" s="73">
        <f t="shared" si="1"/>
        <v>67099.25</v>
      </c>
      <c r="M136" s="79">
        <f t="shared" si="2"/>
        <v>89.48287617554858</v>
      </c>
      <c r="N136" s="3"/>
      <c r="O136" s="3"/>
    </row>
    <row r="137" spans="1:15" ht="21.75" customHeight="1">
      <c r="A137" s="49">
        <v>7</v>
      </c>
      <c r="B137" s="12">
        <v>22003</v>
      </c>
      <c r="C137" s="7">
        <v>600</v>
      </c>
      <c r="D137" s="198" t="s">
        <v>207</v>
      </c>
      <c r="E137" s="141" t="s">
        <v>177</v>
      </c>
      <c r="F137" s="124">
        <v>5611320</v>
      </c>
      <c r="G137" s="125" t="s">
        <v>214</v>
      </c>
      <c r="H137" s="96">
        <v>956000</v>
      </c>
      <c r="I137" s="83">
        <f>42260.4+70074+8201.46+35808.63+49690.8+76161.6+38700+176650</f>
        <v>497546.89</v>
      </c>
      <c r="J137" s="84"/>
      <c r="K137" s="71"/>
      <c r="L137" s="73">
        <f t="shared" si="1"/>
        <v>458453.11</v>
      </c>
      <c r="M137" s="79">
        <f t="shared" si="2"/>
        <v>52.04465376569038</v>
      </c>
      <c r="N137" s="3"/>
      <c r="O137" s="3"/>
    </row>
    <row r="138" spans="1:15" ht="21.75" customHeight="1">
      <c r="A138" s="26">
        <v>8</v>
      </c>
      <c r="B138" s="12">
        <v>22003</v>
      </c>
      <c r="C138" s="7">
        <v>600</v>
      </c>
      <c r="D138" s="198" t="s">
        <v>207</v>
      </c>
      <c r="E138" s="141" t="s">
        <v>177</v>
      </c>
      <c r="F138" s="47">
        <v>5611320</v>
      </c>
      <c r="G138" s="262" t="s">
        <v>215</v>
      </c>
      <c r="H138" s="56">
        <v>341000</v>
      </c>
      <c r="I138" s="62">
        <f>22987.8+79816+2755+25755+1422+9288+13932+6130</f>
        <v>162085.8</v>
      </c>
      <c r="J138" s="72"/>
      <c r="K138" s="73"/>
      <c r="L138" s="73">
        <f t="shared" si="1"/>
        <v>178914.2</v>
      </c>
      <c r="M138" s="79">
        <f t="shared" si="2"/>
        <v>47.53249266862169</v>
      </c>
      <c r="N138" s="3"/>
      <c r="O138" s="3"/>
    </row>
    <row r="139" spans="1:15" ht="21.75" customHeight="1">
      <c r="A139" s="26">
        <v>9</v>
      </c>
      <c r="B139" s="12">
        <v>22003</v>
      </c>
      <c r="C139" s="7">
        <v>600</v>
      </c>
      <c r="D139" s="198" t="s">
        <v>207</v>
      </c>
      <c r="E139" s="141" t="s">
        <v>177</v>
      </c>
      <c r="F139" s="47">
        <v>5611320</v>
      </c>
      <c r="G139" s="262" t="s">
        <v>216</v>
      </c>
      <c r="H139" s="56">
        <v>287000</v>
      </c>
      <c r="I139" s="62">
        <f>17690+15325.2+20898+26599+29920+1890+42730+37152+46440</f>
        <v>238644.2</v>
      </c>
      <c r="J139" s="72"/>
      <c r="K139" s="73"/>
      <c r="L139" s="73">
        <f t="shared" si="1"/>
        <v>48355.79999999999</v>
      </c>
      <c r="M139" s="79">
        <f t="shared" si="2"/>
        <v>83.15128919860626</v>
      </c>
      <c r="N139" s="3"/>
      <c r="O139" s="3"/>
    </row>
    <row r="140" spans="1:15" ht="21.75" customHeight="1">
      <c r="A140" s="26">
        <v>10</v>
      </c>
      <c r="B140" s="12">
        <v>22003</v>
      </c>
      <c r="C140" s="7">
        <v>600</v>
      </c>
      <c r="D140" s="198" t="s">
        <v>207</v>
      </c>
      <c r="E140" s="141" t="s">
        <v>177</v>
      </c>
      <c r="F140" s="47">
        <v>5611320</v>
      </c>
      <c r="G140" s="262" t="s">
        <v>217</v>
      </c>
      <c r="H140" s="56">
        <v>1937000</v>
      </c>
      <c r="I140" s="62">
        <f>28480+60360+83400+90558+153252+45045+26617.5+30740</f>
        <v>518452.5</v>
      </c>
      <c r="J140" s="72"/>
      <c r="K140" s="73"/>
      <c r="L140" s="73">
        <f t="shared" si="1"/>
        <v>1418547.5</v>
      </c>
      <c r="M140" s="79">
        <f t="shared" si="2"/>
        <v>26.76574599896748</v>
      </c>
      <c r="N140" s="3"/>
      <c r="O140" s="3"/>
    </row>
    <row r="141" spans="1:15" ht="21.75" customHeight="1">
      <c r="A141" s="49">
        <v>11</v>
      </c>
      <c r="B141" s="12">
        <v>22003</v>
      </c>
      <c r="C141" s="7">
        <v>600</v>
      </c>
      <c r="D141" s="198" t="s">
        <v>207</v>
      </c>
      <c r="E141" s="141" t="s">
        <v>177</v>
      </c>
      <c r="F141" s="124">
        <v>5611320</v>
      </c>
      <c r="G141" s="261" t="s">
        <v>218</v>
      </c>
      <c r="H141" s="56">
        <v>382000</v>
      </c>
      <c r="I141" s="62">
        <f>10662.88+49151+62640+66741+8359.2+12200+21360+37384.2</f>
        <v>268498.28</v>
      </c>
      <c r="J141" s="72"/>
      <c r="K141" s="73"/>
      <c r="L141" s="73">
        <f t="shared" si="1"/>
        <v>113501.71999999997</v>
      </c>
      <c r="M141" s="81">
        <f t="shared" si="2"/>
        <v>70.28750785340316</v>
      </c>
      <c r="N141" s="3"/>
      <c r="O141" s="3"/>
    </row>
    <row r="142" spans="1:15" ht="21.75" customHeight="1">
      <c r="A142" s="49">
        <v>12</v>
      </c>
      <c r="B142" s="12">
        <v>22003</v>
      </c>
      <c r="C142" s="7">
        <v>600</v>
      </c>
      <c r="D142" s="198" t="s">
        <v>207</v>
      </c>
      <c r="E142" s="141" t="s">
        <v>177</v>
      </c>
      <c r="F142" s="124">
        <v>5611320</v>
      </c>
      <c r="G142" s="227" t="s">
        <v>219</v>
      </c>
      <c r="H142" s="56">
        <v>931000</v>
      </c>
      <c r="I142" s="62">
        <f>76600+51084+35635.25+6900+16412.79+30740+289018+68731.2+83127.6+13932+8910+3753+11942</f>
        <v>696785.84</v>
      </c>
      <c r="J142" s="72"/>
      <c r="K142" s="73"/>
      <c r="L142" s="73">
        <f t="shared" si="1"/>
        <v>234214.16000000003</v>
      </c>
      <c r="M142" s="81">
        <f t="shared" si="2"/>
        <v>74.84273254564984</v>
      </c>
      <c r="N142" s="3"/>
      <c r="O142" s="3"/>
    </row>
    <row r="143" spans="1:15" ht="21.75" customHeight="1">
      <c r="A143" s="49">
        <v>13</v>
      </c>
      <c r="B143" s="12">
        <v>22003</v>
      </c>
      <c r="C143" s="7">
        <v>600</v>
      </c>
      <c r="D143" s="198" t="s">
        <v>207</v>
      </c>
      <c r="E143" s="141" t="s">
        <v>177</v>
      </c>
      <c r="F143" s="124">
        <v>5611320</v>
      </c>
      <c r="G143" s="227" t="s">
        <v>228</v>
      </c>
      <c r="H143" s="56">
        <v>722000</v>
      </c>
      <c r="I143" s="62">
        <f>30540+50060+21130.2+40635+61950+167859+8373+9390+45920</f>
        <v>435857.2</v>
      </c>
      <c r="J143" s="72"/>
      <c r="K143" s="73"/>
      <c r="L143" s="73">
        <f t="shared" si="1"/>
        <v>286142.8</v>
      </c>
      <c r="M143" s="81">
        <f t="shared" si="2"/>
        <v>60.368033240997235</v>
      </c>
      <c r="N143" s="3"/>
      <c r="O143" s="3"/>
    </row>
    <row r="144" spans="1:15" ht="21.75" customHeight="1">
      <c r="A144" s="49">
        <v>14</v>
      </c>
      <c r="B144" s="69">
        <v>22003</v>
      </c>
      <c r="C144" s="176">
        <v>600</v>
      </c>
      <c r="D144" s="226" t="s">
        <v>207</v>
      </c>
      <c r="E144" s="164" t="s">
        <v>177</v>
      </c>
      <c r="F144" s="124">
        <v>5611320</v>
      </c>
      <c r="G144" s="227" t="s">
        <v>258</v>
      </c>
      <c r="H144" s="102">
        <v>1959000</v>
      </c>
      <c r="I144" s="100">
        <f>79529.51+61729.13+7209</f>
        <v>148467.63999999998</v>
      </c>
      <c r="J144" s="101"/>
      <c r="K144" s="88"/>
      <c r="L144" s="73">
        <f>+H144-I144-J144-K144</f>
        <v>1810532.36</v>
      </c>
      <c r="M144" s="81">
        <f>I144/H144*100</f>
        <v>7.578746299132209</v>
      </c>
      <c r="N144" s="3"/>
      <c r="O144" s="3"/>
    </row>
    <row r="145" spans="1:15" ht="21.75" customHeight="1">
      <c r="A145" s="49">
        <v>15</v>
      </c>
      <c r="B145" s="69">
        <v>22003</v>
      </c>
      <c r="C145" s="176">
        <v>600</v>
      </c>
      <c r="D145" s="226" t="s">
        <v>207</v>
      </c>
      <c r="E145" s="164" t="s">
        <v>177</v>
      </c>
      <c r="F145" s="124">
        <v>5611320</v>
      </c>
      <c r="G145" s="284" t="s">
        <v>276</v>
      </c>
      <c r="H145" s="156">
        <v>249000</v>
      </c>
      <c r="I145" s="157"/>
      <c r="J145" s="158"/>
      <c r="K145" s="75"/>
      <c r="L145" s="73">
        <f>+H145-I145-J145-K145</f>
        <v>249000</v>
      </c>
      <c r="M145" s="81">
        <f>I145/H145*100</f>
        <v>0</v>
      </c>
      <c r="N145" s="3"/>
      <c r="O145" s="3"/>
    </row>
    <row r="146" spans="1:15" ht="18" customHeight="1">
      <c r="A146" s="270"/>
      <c r="B146" s="271"/>
      <c r="C146" s="272"/>
      <c r="D146" s="273"/>
      <c r="E146" s="274"/>
      <c r="F146" s="275"/>
      <c r="G146" s="276"/>
      <c r="H146" s="96"/>
      <c r="I146" s="83"/>
      <c r="J146" s="84"/>
      <c r="K146" s="71"/>
      <c r="L146" s="71"/>
      <c r="M146" s="82"/>
      <c r="N146" s="3"/>
      <c r="O146" s="3"/>
    </row>
    <row r="147" spans="1:15" ht="21.75" customHeight="1" thickBot="1">
      <c r="A147" s="41" t="s">
        <v>126</v>
      </c>
      <c r="B147" s="37"/>
      <c r="C147" s="38"/>
      <c r="D147" s="13"/>
      <c r="E147" s="13"/>
      <c r="F147" s="13"/>
      <c r="G147" s="110"/>
      <c r="H147" s="105">
        <f>+H160+H163+H166+H169+H172+H175+H178+H181+H184+H187+H190+H193+H196+H149</f>
        <v>508000</v>
      </c>
      <c r="I147" s="105">
        <f>+I160+I163+I166+I169+I172+I175+I178+I181+I184+I187+I190+I193+I196+I149</f>
        <v>300000</v>
      </c>
      <c r="J147" s="55">
        <f>+J160+J163+J166+J169+J172+J175+J178+J181+J184+J187+J190+J193+J196+J149</f>
        <v>0</v>
      </c>
      <c r="K147" s="55">
        <f>+K160+K163+K166+K169+K172+K175+K178+K181+K184+K187+K190+K193+K196+K149</f>
        <v>0</v>
      </c>
      <c r="L147" s="55">
        <f>+L160+L163+L166+L169+L172+L175+L178+L181+L184+L187+L190+L193+L196+L149</f>
        <v>208000</v>
      </c>
      <c r="M147" s="77">
        <f>I147/H147*100</f>
        <v>59.055118110236215</v>
      </c>
      <c r="N147" s="3"/>
      <c r="O147" s="3"/>
    </row>
    <row r="148" spans="1:15" ht="18" customHeight="1" thickTop="1">
      <c r="A148" s="49"/>
      <c r="B148" s="69"/>
      <c r="C148" s="176"/>
      <c r="D148" s="226"/>
      <c r="E148" s="164"/>
      <c r="F148" s="124"/>
      <c r="G148" s="125"/>
      <c r="H148" s="56"/>
      <c r="I148" s="62"/>
      <c r="J148" s="72"/>
      <c r="K148" s="73"/>
      <c r="L148" s="73"/>
      <c r="M148" s="81"/>
      <c r="N148" s="3"/>
      <c r="O148" s="3"/>
    </row>
    <row r="149" spans="1:13" s="1" customFormat="1" ht="23.25" customHeight="1" thickBot="1">
      <c r="A149" s="48"/>
      <c r="B149" s="12"/>
      <c r="C149" s="6"/>
      <c r="D149" s="97" t="s">
        <v>202</v>
      </c>
      <c r="E149" s="18"/>
      <c r="F149" s="18"/>
      <c r="G149" s="25"/>
      <c r="H149" s="106">
        <f>+H150</f>
        <v>508000</v>
      </c>
      <c r="I149" s="106">
        <f>+I150</f>
        <v>300000</v>
      </c>
      <c r="J149" s="60">
        <f>+J150</f>
        <v>0</v>
      </c>
      <c r="K149" s="60">
        <f>+K150</f>
        <v>0</v>
      </c>
      <c r="L149" s="60">
        <f>+L150</f>
        <v>208000</v>
      </c>
      <c r="M149" s="144">
        <f>I149/H149*100</f>
        <v>59.055118110236215</v>
      </c>
    </row>
    <row r="150" spans="1:15" ht="21.75" customHeight="1" thickTop="1">
      <c r="A150" s="49">
        <v>1</v>
      </c>
      <c r="B150" s="12">
        <v>22003</v>
      </c>
      <c r="C150" s="7">
        <v>600</v>
      </c>
      <c r="D150" s="198" t="s">
        <v>203</v>
      </c>
      <c r="E150" s="141" t="s">
        <v>155</v>
      </c>
      <c r="F150" s="124">
        <v>5611320</v>
      </c>
      <c r="G150" s="125" t="s">
        <v>204</v>
      </c>
      <c r="H150" s="151">
        <v>508000</v>
      </c>
      <c r="I150" s="153">
        <f>208000+92000</f>
        <v>300000</v>
      </c>
      <c r="J150" s="153"/>
      <c r="K150" s="130"/>
      <c r="L150" s="130">
        <f>+H150-I150-J150-K150</f>
        <v>208000</v>
      </c>
      <c r="M150" s="169">
        <f>I150/H150*100</f>
        <v>59.055118110236215</v>
      </c>
      <c r="N150" s="3"/>
      <c r="O150" s="3"/>
    </row>
    <row r="151" spans="1:15" ht="21.75" customHeight="1">
      <c r="A151" s="26"/>
      <c r="B151" s="12"/>
      <c r="C151" s="7"/>
      <c r="D151" s="198"/>
      <c r="E151" s="141"/>
      <c r="F151" s="47"/>
      <c r="G151" s="149" t="s">
        <v>205</v>
      </c>
      <c r="H151" s="56"/>
      <c r="I151" s="62"/>
      <c r="J151" s="72"/>
      <c r="K151" s="73"/>
      <c r="L151" s="73"/>
      <c r="M151" s="79"/>
      <c r="N151" s="3"/>
      <c r="O151" s="3"/>
    </row>
    <row r="152" spans="1:15" ht="21.75" customHeight="1">
      <c r="A152" s="26"/>
      <c r="B152" s="12"/>
      <c r="C152" s="7"/>
      <c r="D152" s="198"/>
      <c r="E152" s="141"/>
      <c r="F152" s="47"/>
      <c r="G152" s="149"/>
      <c r="H152" s="56"/>
      <c r="I152" s="62"/>
      <c r="J152" s="72"/>
      <c r="K152" s="73"/>
      <c r="L152" s="73"/>
      <c r="M152" s="79"/>
      <c r="N152" s="3"/>
      <c r="O152" s="3"/>
    </row>
    <row r="153" spans="1:15" ht="21.75" customHeight="1">
      <c r="A153" s="49"/>
      <c r="B153" s="69"/>
      <c r="C153" s="176"/>
      <c r="D153" s="226"/>
      <c r="E153" s="164"/>
      <c r="F153" s="124"/>
      <c r="G153" s="125"/>
      <c r="H153" s="56"/>
      <c r="I153" s="62"/>
      <c r="J153" s="72"/>
      <c r="K153" s="73"/>
      <c r="L153" s="73"/>
      <c r="M153" s="81"/>
      <c r="N153" s="3"/>
      <c r="O153" s="3"/>
    </row>
    <row r="154" spans="1:15" ht="21.75" customHeight="1">
      <c r="A154" s="49"/>
      <c r="B154" s="69"/>
      <c r="C154" s="176"/>
      <c r="D154" s="226"/>
      <c r="E154" s="164"/>
      <c r="F154" s="124"/>
      <c r="G154" s="125"/>
      <c r="H154" s="56"/>
      <c r="I154" s="62"/>
      <c r="J154" s="72"/>
      <c r="K154" s="73"/>
      <c r="L154" s="73"/>
      <c r="M154" s="81"/>
      <c r="N154" s="3"/>
      <c r="O154" s="3"/>
    </row>
    <row r="155" spans="1:13" ht="21.75" customHeight="1">
      <c r="A155" s="40"/>
      <c r="B155" s="207"/>
      <c r="C155" s="216"/>
      <c r="D155" s="40"/>
      <c r="E155" s="40"/>
      <c r="F155" s="40"/>
      <c r="G155" s="22"/>
      <c r="H155" s="214"/>
      <c r="I155" s="214"/>
      <c r="J155" s="214"/>
      <c r="K155" s="214"/>
      <c r="L155" s="215"/>
      <c r="M155" s="215"/>
    </row>
    <row r="157" ht="21.75" customHeight="1">
      <c r="I157" s="131"/>
    </row>
  </sheetData>
  <sheetProtection/>
  <mergeCells count="6">
    <mergeCell ref="A35:M35"/>
    <mergeCell ref="B37:C37"/>
    <mergeCell ref="A1:M1"/>
    <mergeCell ref="B4:C4"/>
    <mergeCell ref="A2:M2"/>
    <mergeCell ref="A34:M34"/>
  </mergeCells>
  <printOptions/>
  <pageMargins left="0.17" right="0.17" top="0.26" bottom="0.22" header="0.5" footer="0.19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O74"/>
  <sheetViews>
    <sheetView tabSelected="1" zoomScalePageLayoutView="0" workbookViewId="0" topLeftCell="A1">
      <selection activeCell="G79" sqref="G79"/>
    </sheetView>
  </sheetViews>
  <sheetFormatPr defaultColWidth="9.140625" defaultRowHeight="21.75" customHeight="1"/>
  <cols>
    <col min="1" max="2" width="6.00390625" style="3" customWidth="1"/>
    <col min="3" max="3" width="5.28125" style="3" customWidth="1"/>
    <col min="4" max="4" width="17.7109375" style="3" customWidth="1"/>
    <col min="5" max="5" width="14.28125" style="3" customWidth="1"/>
    <col min="6" max="6" width="11.57421875" style="3" customWidth="1"/>
    <col min="7" max="7" width="45.57421875" style="2" customWidth="1"/>
    <col min="8" max="8" width="16.140625" style="51" customWidth="1"/>
    <col min="9" max="9" width="15.28125" style="51" customWidth="1"/>
    <col min="10" max="10" width="14.140625" style="51" customWidth="1"/>
    <col min="11" max="11" width="10.140625" style="51" customWidth="1"/>
    <col min="12" max="12" width="14.421875" style="3" customWidth="1"/>
    <col min="13" max="13" width="7.140625" style="3" customWidth="1"/>
    <col min="14" max="16384" width="9.140625" style="3" customWidth="1"/>
  </cols>
  <sheetData>
    <row r="1" spans="1:13" ht="33.75" customHeight="1">
      <c r="A1" s="285" t="s">
        <v>147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5" ht="29.25" customHeight="1">
      <c r="A2" s="285" t="str">
        <f>+'ชป.ชม.'!A2</f>
        <v>ณ วันที่  31  มีนาคม  2556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51"/>
      <c r="O2" s="51"/>
    </row>
    <row r="3" ht="8.25" customHeight="1">
      <c r="L3" s="51"/>
    </row>
    <row r="4" spans="1:13" ht="44.25" customHeight="1">
      <c r="A4" s="43" t="s">
        <v>24</v>
      </c>
      <c r="B4" s="286" t="s">
        <v>4</v>
      </c>
      <c r="C4" s="286"/>
      <c r="D4" s="44" t="s">
        <v>6</v>
      </c>
      <c r="E4" s="44" t="s">
        <v>22</v>
      </c>
      <c r="F4" s="44" t="s">
        <v>23</v>
      </c>
      <c r="G4" s="45" t="s">
        <v>11</v>
      </c>
      <c r="H4" s="52" t="s">
        <v>7</v>
      </c>
      <c r="I4" s="61" t="s">
        <v>8</v>
      </c>
      <c r="J4" s="52" t="s">
        <v>21</v>
      </c>
      <c r="K4" s="70" t="s">
        <v>30</v>
      </c>
      <c r="L4" s="52" t="s">
        <v>9</v>
      </c>
      <c r="M4" s="52" t="s">
        <v>10</v>
      </c>
    </row>
    <row r="5" spans="1:13" ht="21.75" customHeight="1" thickBot="1">
      <c r="A5" s="23" t="s">
        <v>25</v>
      </c>
      <c r="B5" s="23"/>
      <c r="C5" s="5"/>
      <c r="D5" s="14"/>
      <c r="E5" s="14"/>
      <c r="F5" s="14"/>
      <c r="G5" s="15"/>
      <c r="H5" s="53">
        <f>+H7</f>
        <v>28291019</v>
      </c>
      <c r="I5" s="53">
        <f>+I7</f>
        <v>12122803.180000003</v>
      </c>
      <c r="J5" s="53">
        <f>+J7</f>
        <v>2596923.75</v>
      </c>
      <c r="K5" s="53">
        <f>+K7</f>
        <v>0</v>
      </c>
      <c r="L5" s="53">
        <f>+L7</f>
        <v>14610403.549999999</v>
      </c>
      <c r="M5" s="76">
        <f>I5/H5*100</f>
        <v>42.85035890718537</v>
      </c>
    </row>
    <row r="6" spans="1:13" ht="21.75" customHeight="1" thickTop="1">
      <c r="A6" s="11"/>
      <c r="B6" s="12"/>
      <c r="C6" s="6"/>
      <c r="D6" s="39"/>
      <c r="E6" s="162"/>
      <c r="F6" s="47"/>
      <c r="G6" s="116"/>
      <c r="H6" s="156"/>
      <c r="I6" s="199"/>
      <c r="J6" s="158"/>
      <c r="K6" s="75"/>
      <c r="L6" s="82"/>
      <c r="M6" s="19"/>
    </row>
    <row r="7" spans="1:13" ht="21.75" customHeight="1" thickBot="1">
      <c r="A7" s="13"/>
      <c r="B7" s="11"/>
      <c r="C7" s="6"/>
      <c r="D7" s="24" t="s">
        <v>128</v>
      </c>
      <c r="E7" s="163" t="s">
        <v>131</v>
      </c>
      <c r="F7" s="13"/>
      <c r="G7" s="16"/>
      <c r="H7" s="53">
        <f>+H9+H21+H64</f>
        <v>28291019</v>
      </c>
      <c r="I7" s="53">
        <f>+I9+I21+I64</f>
        <v>12122803.180000003</v>
      </c>
      <c r="J7" s="53">
        <f>+J9+J21+J64</f>
        <v>2596923.75</v>
      </c>
      <c r="K7" s="53">
        <f>+K9+K21+K64</f>
        <v>0</v>
      </c>
      <c r="L7" s="53">
        <f>+L9+L21+L64</f>
        <v>14610403.549999999</v>
      </c>
      <c r="M7" s="76">
        <f>I7/H7*100</f>
        <v>42.85035890718537</v>
      </c>
    </row>
    <row r="8" spans="1:13" ht="21.75" customHeight="1" thickTop="1">
      <c r="A8" s="13"/>
      <c r="B8" s="11"/>
      <c r="C8" s="6"/>
      <c r="D8" s="13"/>
      <c r="E8" s="13"/>
      <c r="F8" s="13"/>
      <c r="G8" s="16"/>
      <c r="H8" s="68"/>
      <c r="I8" s="67"/>
      <c r="J8" s="54"/>
      <c r="K8" s="54"/>
      <c r="L8" s="54"/>
      <c r="M8" s="54"/>
    </row>
    <row r="9" spans="1:13" ht="21.75" customHeight="1" thickBot="1">
      <c r="A9" s="37" t="s">
        <v>3</v>
      </c>
      <c r="B9" s="37"/>
      <c r="C9" s="38"/>
      <c r="D9" s="13"/>
      <c r="E9" s="13"/>
      <c r="F9" s="13"/>
      <c r="G9" s="110"/>
      <c r="H9" s="105">
        <f>+H10+H14+H16</f>
        <v>882100</v>
      </c>
      <c r="I9" s="105">
        <f>+I10+I14+I16</f>
        <v>367507.44</v>
      </c>
      <c r="J9" s="55">
        <f>+J10+J14+J16</f>
        <v>0</v>
      </c>
      <c r="K9" s="55">
        <f>+K10+K14+K16</f>
        <v>0</v>
      </c>
      <c r="L9" s="55">
        <f>+L10+L14+L16</f>
        <v>514592.56</v>
      </c>
      <c r="M9" s="144">
        <f>I9/H9*100</f>
        <v>41.662786532139215</v>
      </c>
    </row>
    <row r="10" spans="1:13" s="4" customFormat="1" ht="21.75" customHeight="1" thickTop="1">
      <c r="A10" s="111">
        <v>1</v>
      </c>
      <c r="B10" s="12">
        <v>22001</v>
      </c>
      <c r="C10" s="7">
        <v>300</v>
      </c>
      <c r="D10" s="39" t="s">
        <v>149</v>
      </c>
      <c r="E10" s="141" t="s">
        <v>0</v>
      </c>
      <c r="F10" s="47">
        <v>5611200</v>
      </c>
      <c r="G10" s="165" t="s">
        <v>34</v>
      </c>
      <c r="H10" s="112">
        <v>100000</v>
      </c>
      <c r="I10" s="113">
        <f>+I11+I12+I13</f>
        <v>36001.7</v>
      </c>
      <c r="J10" s="175">
        <f>SUM(J11:J13)</f>
        <v>0</v>
      </c>
      <c r="K10" s="71"/>
      <c r="L10" s="71">
        <f>+H10-I10-J10-K10</f>
        <v>63998.3</v>
      </c>
      <c r="M10" s="78">
        <f>I10/H10*100</f>
        <v>36.0017</v>
      </c>
    </row>
    <row r="11" spans="1:13" s="4" customFormat="1" ht="21.75" customHeight="1">
      <c r="A11" s="111"/>
      <c r="B11" s="12"/>
      <c r="C11" s="7"/>
      <c r="D11" s="39"/>
      <c r="E11" s="39"/>
      <c r="F11" s="47">
        <v>5611210</v>
      </c>
      <c r="G11" s="9"/>
      <c r="H11" s="112"/>
      <c r="I11" s="113"/>
      <c r="J11" s="71"/>
      <c r="K11" s="71"/>
      <c r="L11" s="78"/>
      <c r="M11" s="78"/>
    </row>
    <row r="12" spans="1:13" s="4" customFormat="1" ht="21.75" customHeight="1">
      <c r="A12" s="111"/>
      <c r="B12" s="12"/>
      <c r="C12" s="7"/>
      <c r="D12" s="39"/>
      <c r="E12" s="39"/>
      <c r="F12" s="47">
        <v>5611220</v>
      </c>
      <c r="G12" s="9"/>
      <c r="H12" s="112"/>
      <c r="I12" s="114">
        <f>5544+3900+3500+950+3488+8935+7444.7</f>
        <v>33761.7</v>
      </c>
      <c r="J12" s="71"/>
      <c r="K12" s="71"/>
      <c r="L12" s="78"/>
      <c r="M12" s="78"/>
    </row>
    <row r="13" spans="1:13" s="4" customFormat="1" ht="21.75" customHeight="1">
      <c r="A13" s="111"/>
      <c r="B13" s="12"/>
      <c r="C13" s="7"/>
      <c r="D13" s="39"/>
      <c r="E13" s="39"/>
      <c r="F13" s="47">
        <v>5611230</v>
      </c>
      <c r="G13" s="9"/>
      <c r="H13" s="112"/>
      <c r="I13" s="115">
        <v>2240</v>
      </c>
      <c r="J13" s="71"/>
      <c r="K13" s="71"/>
      <c r="L13" s="79"/>
      <c r="M13" s="79"/>
    </row>
    <row r="14" spans="1:13" ht="21.75" customHeight="1">
      <c r="A14" s="111"/>
      <c r="B14" s="12">
        <v>22001</v>
      </c>
      <c r="C14" s="7">
        <v>450</v>
      </c>
      <c r="D14" s="39" t="s">
        <v>149</v>
      </c>
      <c r="E14" s="141" t="s">
        <v>0</v>
      </c>
      <c r="F14" s="47">
        <v>5611240</v>
      </c>
      <c r="G14" s="149" t="s">
        <v>33</v>
      </c>
      <c r="H14" s="56">
        <f>260300+277000</f>
        <v>537300</v>
      </c>
      <c r="I14" s="62">
        <f>888.93+44900.31+526.51+438.7+316+4424.46+862.96+1096.42+4120.9+2811.49+700.37+1061.17+28384.19+536+768.37+645.21+566.03+3646.14+954+678.13+27679.7+1065.18+5238.59+3400.6+700.85+325.82+1057.8+321+1044.38+19381.01+2761.52+730+1111.23+4693.13+794.9+794.9+16850.37+321+3512.28+452+1100.13+1226.06+3601.83+332.96+665.54+21481.75+1022.29+1068.23+2812.39+636.65+4467.36+528</f>
        <v>229505.74</v>
      </c>
      <c r="J14" s="72"/>
      <c r="K14" s="71"/>
      <c r="L14" s="73">
        <f>+H14-I14-J14-K14</f>
        <v>307794.26</v>
      </c>
      <c r="M14" s="79">
        <f>I14/H14*100</f>
        <v>42.71463614368137</v>
      </c>
    </row>
    <row r="15" spans="1:13" ht="21.75" customHeight="1">
      <c r="A15" s="26"/>
      <c r="B15" s="12"/>
      <c r="C15" s="6"/>
      <c r="D15" s="39"/>
      <c r="E15" s="39"/>
      <c r="F15" s="47"/>
      <c r="G15" s="116"/>
      <c r="H15" s="96"/>
      <c r="I15" s="83"/>
      <c r="J15" s="84"/>
      <c r="K15" s="71"/>
      <c r="L15" s="79"/>
      <c r="M15" s="79"/>
    </row>
    <row r="16" spans="1:13" s="4" customFormat="1" ht="21.75" customHeight="1">
      <c r="A16" s="111">
        <v>2</v>
      </c>
      <c r="B16" s="12">
        <v>22001</v>
      </c>
      <c r="C16" s="7">
        <v>300</v>
      </c>
      <c r="D16" s="39" t="s">
        <v>149</v>
      </c>
      <c r="E16" s="141" t="s">
        <v>0</v>
      </c>
      <c r="F16" s="47">
        <v>5611200</v>
      </c>
      <c r="G16" s="165" t="s">
        <v>150</v>
      </c>
      <c r="H16" s="112">
        <v>244800</v>
      </c>
      <c r="I16" s="240">
        <f>+I17+I18+I19</f>
        <v>102000</v>
      </c>
      <c r="J16" s="113">
        <f>SUM(J17:J19)</f>
        <v>0</v>
      </c>
      <c r="K16" s="71"/>
      <c r="L16" s="73">
        <f>H16-I16-J16</f>
        <v>142800</v>
      </c>
      <c r="M16" s="79">
        <f>I16/H16*100</f>
        <v>41.66666666666667</v>
      </c>
    </row>
    <row r="17" spans="1:13" s="4" customFormat="1" ht="21.75" customHeight="1">
      <c r="A17" s="111"/>
      <c r="B17" s="12"/>
      <c r="C17" s="7"/>
      <c r="D17" s="39"/>
      <c r="E17" s="39"/>
      <c r="F17" s="47">
        <v>5611210</v>
      </c>
      <c r="G17" s="9"/>
      <c r="H17" s="112"/>
      <c r="I17" s="73"/>
      <c r="J17" s="71"/>
      <c r="K17" s="71"/>
      <c r="L17" s="71"/>
      <c r="M17" s="78"/>
    </row>
    <row r="18" spans="1:13" s="4" customFormat="1" ht="21.75" customHeight="1">
      <c r="A18" s="111"/>
      <c r="B18" s="12"/>
      <c r="C18" s="7"/>
      <c r="D18" s="39"/>
      <c r="E18" s="39"/>
      <c r="F18" s="47">
        <v>5611220</v>
      </c>
      <c r="G18" s="9"/>
      <c r="H18" s="112"/>
      <c r="I18" s="114">
        <f>20400+20400+20400+20400+20400</f>
        <v>102000</v>
      </c>
      <c r="J18" s="71"/>
      <c r="K18" s="71"/>
      <c r="L18" s="71"/>
      <c r="M18" s="78"/>
    </row>
    <row r="19" spans="1:13" s="4" customFormat="1" ht="21.75" customHeight="1">
      <c r="A19" s="111"/>
      <c r="B19" s="12"/>
      <c r="C19" s="7"/>
      <c r="D19" s="39"/>
      <c r="E19" s="39"/>
      <c r="F19" s="47">
        <v>5611230</v>
      </c>
      <c r="G19" s="9"/>
      <c r="H19" s="112"/>
      <c r="I19" s="115"/>
      <c r="J19" s="71"/>
      <c r="K19" s="71"/>
      <c r="L19" s="71"/>
      <c r="M19" s="78"/>
    </row>
    <row r="20" spans="1:13" s="4" customFormat="1" ht="21.75" customHeight="1">
      <c r="A20" s="111"/>
      <c r="B20" s="12"/>
      <c r="C20" s="7"/>
      <c r="D20" s="39"/>
      <c r="E20" s="39"/>
      <c r="F20" s="47"/>
      <c r="G20" s="9"/>
      <c r="H20" s="103"/>
      <c r="I20" s="104"/>
      <c r="J20" s="75"/>
      <c r="K20" s="75"/>
      <c r="L20" s="75"/>
      <c r="M20" s="82"/>
    </row>
    <row r="21" spans="1:13" ht="21.75" customHeight="1" thickBot="1">
      <c r="A21" s="41" t="s">
        <v>12</v>
      </c>
      <c r="B21" s="37"/>
      <c r="C21" s="38"/>
      <c r="D21" s="13"/>
      <c r="E21" s="13"/>
      <c r="F21" s="13"/>
      <c r="G21" s="110"/>
      <c r="H21" s="105">
        <f>+H23+H27+H31+H60+H50+H53+H57</f>
        <v>27207519</v>
      </c>
      <c r="I21" s="105">
        <f>+I23+I27+I31+I60+I50+I53+I57</f>
        <v>11707295.740000004</v>
      </c>
      <c r="J21" s="55">
        <f>+J23+J27+J31+J60+J50+J53+J57</f>
        <v>2584923.75</v>
      </c>
      <c r="K21" s="55">
        <f>+K23+K27+K31+K60+K50+K53+K57</f>
        <v>0</v>
      </c>
      <c r="L21" s="55">
        <f>+L23+L27+L31+L60+L50+L53+L57</f>
        <v>13954410.989999998</v>
      </c>
      <c r="M21" s="77">
        <f>I21/H21*100</f>
        <v>43.02963360973856</v>
      </c>
    </row>
    <row r="22" spans="1:13" ht="21.75" customHeight="1" thickTop="1">
      <c r="A22" s="41"/>
      <c r="B22" s="37"/>
      <c r="C22" s="38"/>
      <c r="D22" s="13"/>
      <c r="E22" s="13"/>
      <c r="F22" s="13"/>
      <c r="G22" s="110"/>
      <c r="H22" s="129"/>
      <c r="I22" s="231"/>
      <c r="J22" s="129"/>
      <c r="K22" s="129"/>
      <c r="L22" s="129"/>
      <c r="M22" s="169"/>
    </row>
    <row r="23" spans="1:13" s="1" customFormat="1" ht="23.25" customHeight="1" thickBot="1">
      <c r="A23" s="48"/>
      <c r="B23" s="12"/>
      <c r="C23" s="6"/>
      <c r="D23" s="97" t="s">
        <v>194</v>
      </c>
      <c r="E23" s="18"/>
      <c r="F23" s="18"/>
      <c r="G23" s="25"/>
      <c r="H23" s="106">
        <f>+H24</f>
        <v>2599919</v>
      </c>
      <c r="I23" s="106">
        <f>+I24</f>
        <v>1294341.2799999998</v>
      </c>
      <c r="J23" s="60">
        <f>+J24</f>
        <v>1305576.27</v>
      </c>
      <c r="K23" s="60">
        <f>+K24</f>
        <v>0</v>
      </c>
      <c r="L23" s="60">
        <f>+L24</f>
        <v>1.4500000001862645</v>
      </c>
      <c r="M23" s="144">
        <f>I23/H23*100</f>
        <v>49.78390788328405</v>
      </c>
    </row>
    <row r="24" spans="1:13" ht="21.75" customHeight="1" thickTop="1">
      <c r="A24" s="49">
        <v>1</v>
      </c>
      <c r="B24" s="12">
        <v>22001</v>
      </c>
      <c r="C24" s="7">
        <v>600</v>
      </c>
      <c r="D24" s="198" t="s">
        <v>195</v>
      </c>
      <c r="E24" s="141" t="s">
        <v>153</v>
      </c>
      <c r="F24" s="124">
        <v>5611320</v>
      </c>
      <c r="G24" s="125" t="s">
        <v>196</v>
      </c>
      <c r="H24" s="151">
        <v>2599919</v>
      </c>
      <c r="I24" s="153">
        <f>1174628.64+119712.64</f>
        <v>1294341.2799999998</v>
      </c>
      <c r="J24" s="153">
        <v>1305576.27</v>
      </c>
      <c r="K24" s="130"/>
      <c r="L24" s="130">
        <f>+H24-I24-J24-K24</f>
        <v>1.4500000001862645</v>
      </c>
      <c r="M24" s="169">
        <f>I24/H24*100</f>
        <v>49.78390788328405</v>
      </c>
    </row>
    <row r="25" spans="1:13" ht="21.75" customHeight="1">
      <c r="A25" s="49"/>
      <c r="B25" s="12"/>
      <c r="C25" s="7"/>
      <c r="D25" s="198"/>
      <c r="E25" s="141"/>
      <c r="F25" s="124"/>
      <c r="G25" s="125"/>
      <c r="H25" s="56"/>
      <c r="I25" s="62"/>
      <c r="J25" s="72"/>
      <c r="K25" s="73"/>
      <c r="L25" s="73"/>
      <c r="M25" s="79"/>
    </row>
    <row r="26" spans="1:13" ht="21.75" customHeight="1">
      <c r="A26" s="41"/>
      <c r="B26" s="37"/>
      <c r="C26" s="38"/>
      <c r="D26" s="13"/>
      <c r="E26" s="13"/>
      <c r="F26" s="13"/>
      <c r="G26" s="110"/>
      <c r="H26" s="123"/>
      <c r="I26" s="242"/>
      <c r="J26" s="123"/>
      <c r="K26" s="123"/>
      <c r="L26" s="123"/>
      <c r="M26" s="80"/>
    </row>
    <row r="27" spans="1:13" s="1" customFormat="1" ht="23.25" customHeight="1" thickBot="1">
      <c r="A27" s="48"/>
      <c r="B27" s="12"/>
      <c r="C27" s="6"/>
      <c r="D27" s="97" t="s">
        <v>170</v>
      </c>
      <c r="E27" s="18"/>
      <c r="F27" s="18"/>
      <c r="G27" s="25"/>
      <c r="H27" s="106">
        <f>+H28</f>
        <v>2403000</v>
      </c>
      <c r="I27" s="106">
        <f>+I28</f>
        <v>2396228.3200000003</v>
      </c>
      <c r="J27" s="60">
        <f>+J28</f>
        <v>0</v>
      </c>
      <c r="K27" s="60">
        <f>+K28</f>
        <v>0</v>
      </c>
      <c r="L27" s="60">
        <f>+L28</f>
        <v>6771.679999999702</v>
      </c>
      <c r="M27" s="144">
        <f>I27/H27*100</f>
        <v>99.71819891801916</v>
      </c>
    </row>
    <row r="28" spans="1:13" ht="21.75" customHeight="1" thickTop="1">
      <c r="A28" s="49">
        <v>1</v>
      </c>
      <c r="B28" s="12">
        <v>22001</v>
      </c>
      <c r="C28" s="7">
        <v>600</v>
      </c>
      <c r="D28" s="198" t="s">
        <v>171</v>
      </c>
      <c r="E28" s="141" t="s">
        <v>153</v>
      </c>
      <c r="F28" s="124">
        <v>5611320</v>
      </c>
      <c r="G28" s="125" t="s">
        <v>132</v>
      </c>
      <c r="H28" s="151">
        <v>2403000</v>
      </c>
      <c r="I28" s="153">
        <f>18955+98670+12455+100170+98221.41+17790+272620+482847.03+338632.08+148915.2+19305+45433+152811+93576.6+59884+144200+87878+3780+89000+90780+20305</f>
        <v>2396228.3200000003</v>
      </c>
      <c r="J28" s="153"/>
      <c r="K28" s="130"/>
      <c r="L28" s="130">
        <f>+H28-I28-J28-K28</f>
        <v>6771.679999999702</v>
      </c>
      <c r="M28" s="169">
        <f>I28/H28*100</f>
        <v>99.71819891801916</v>
      </c>
    </row>
    <row r="29" spans="1:13" ht="21.75" customHeight="1">
      <c r="A29" s="49"/>
      <c r="B29" s="12"/>
      <c r="C29" s="7"/>
      <c r="D29" s="198"/>
      <c r="E29" s="141"/>
      <c r="F29" s="124"/>
      <c r="G29" s="125" t="s">
        <v>172</v>
      </c>
      <c r="H29" s="56"/>
      <c r="I29" s="72"/>
      <c r="J29" s="72"/>
      <c r="K29" s="73"/>
      <c r="L29" s="73"/>
      <c r="M29" s="79"/>
    </row>
    <row r="30" spans="1:13" ht="21.75" customHeight="1">
      <c r="A30" s="49"/>
      <c r="B30" s="12"/>
      <c r="C30" s="7"/>
      <c r="D30" s="198"/>
      <c r="E30" s="141"/>
      <c r="F30" s="124"/>
      <c r="G30" s="125"/>
      <c r="H30" s="120"/>
      <c r="I30" s="122"/>
      <c r="J30" s="122"/>
      <c r="K30" s="74"/>
      <c r="L30" s="74"/>
      <c r="M30" s="80"/>
    </row>
    <row r="31" spans="1:13" s="1" customFormat="1" ht="23.25" customHeight="1" thickBot="1">
      <c r="A31" s="48"/>
      <c r="B31" s="12"/>
      <c r="C31" s="6"/>
      <c r="D31" s="97" t="s">
        <v>163</v>
      </c>
      <c r="E31" s="18"/>
      <c r="F31" s="18"/>
      <c r="G31" s="25"/>
      <c r="H31" s="106">
        <f>SUM(H32:H48)</f>
        <v>16658000</v>
      </c>
      <c r="I31" s="106">
        <f>SUM(I32:I48)</f>
        <v>6410273.340000003</v>
      </c>
      <c r="J31" s="60">
        <v>1039111.48</v>
      </c>
      <c r="K31" s="60">
        <f>SUM(K32:K48)</f>
        <v>0</v>
      </c>
      <c r="L31" s="60">
        <f>SUM(L32:L48)</f>
        <v>10247726.659999998</v>
      </c>
      <c r="M31" s="144">
        <f aca="true" t="shared" si="0" ref="M31:M39">I31/H31*100</f>
        <v>38.481650498259114</v>
      </c>
    </row>
    <row r="32" spans="1:13" ht="21.75" customHeight="1" thickTop="1">
      <c r="A32" s="49">
        <v>1</v>
      </c>
      <c r="B32" s="12">
        <v>22001</v>
      </c>
      <c r="C32" s="7">
        <v>600</v>
      </c>
      <c r="D32" s="198" t="s">
        <v>164</v>
      </c>
      <c r="E32" s="141" t="s">
        <v>0</v>
      </c>
      <c r="F32" s="124">
        <v>5611320</v>
      </c>
      <c r="G32" s="125" t="s">
        <v>165</v>
      </c>
      <c r="H32" s="151">
        <v>634200</v>
      </c>
      <c r="I32" s="153">
        <f>22291.2+39800+37152+44814.6+40635+18576</f>
        <v>203268.8</v>
      </c>
      <c r="J32" s="153"/>
      <c r="K32" s="130"/>
      <c r="L32" s="130">
        <f aca="true" t="shared" si="1" ref="L32:L39">+H32-I32-J32-K32</f>
        <v>430931.2</v>
      </c>
      <c r="M32" s="169">
        <f t="shared" si="0"/>
        <v>32.05121412803532</v>
      </c>
    </row>
    <row r="33" spans="1:13" ht="21.75" customHeight="1">
      <c r="A33" s="49">
        <v>2</v>
      </c>
      <c r="B33" s="12">
        <v>22001</v>
      </c>
      <c r="C33" s="7">
        <v>600</v>
      </c>
      <c r="D33" s="198" t="s">
        <v>164</v>
      </c>
      <c r="E33" s="141" t="s">
        <v>0</v>
      </c>
      <c r="F33" s="124">
        <v>5611320</v>
      </c>
      <c r="G33" s="125" t="s">
        <v>166</v>
      </c>
      <c r="H33" s="56">
        <v>1023400</v>
      </c>
      <c r="I33" s="72">
        <f>92580+56192.4+53638.2+3780+40867.2+61140+14418+63032</f>
        <v>385647.8</v>
      </c>
      <c r="J33" s="72"/>
      <c r="K33" s="73"/>
      <c r="L33" s="73">
        <f t="shared" si="1"/>
        <v>637752.2</v>
      </c>
      <c r="M33" s="79">
        <f t="shared" si="0"/>
        <v>37.68299785030291</v>
      </c>
    </row>
    <row r="34" spans="1:13" ht="21.75" customHeight="1">
      <c r="A34" s="49">
        <v>3</v>
      </c>
      <c r="B34" s="12">
        <v>22001</v>
      </c>
      <c r="C34" s="7">
        <v>600</v>
      </c>
      <c r="D34" s="198" t="s">
        <v>164</v>
      </c>
      <c r="E34" s="141" t="s">
        <v>0</v>
      </c>
      <c r="F34" s="124">
        <v>5611320</v>
      </c>
      <c r="G34" s="177" t="s">
        <v>167</v>
      </c>
      <c r="H34" s="56">
        <v>283700</v>
      </c>
      <c r="I34" s="72">
        <f>29260+36408+34864.2+5607+36524.4+5874+12308+27864+5340</f>
        <v>194049.6</v>
      </c>
      <c r="J34" s="72"/>
      <c r="K34" s="73"/>
      <c r="L34" s="73">
        <f t="shared" si="1"/>
        <v>89650.4</v>
      </c>
      <c r="M34" s="79">
        <f t="shared" si="0"/>
        <v>68.39957701797674</v>
      </c>
    </row>
    <row r="35" spans="1:13" ht="21.75" customHeight="1">
      <c r="A35" s="49">
        <v>4</v>
      </c>
      <c r="B35" s="12">
        <v>22001</v>
      </c>
      <c r="C35" s="7">
        <v>600</v>
      </c>
      <c r="D35" s="198" t="s">
        <v>164</v>
      </c>
      <c r="E35" s="141" t="s">
        <v>0</v>
      </c>
      <c r="F35" s="124">
        <v>5611320</v>
      </c>
      <c r="G35" s="227" t="s">
        <v>168</v>
      </c>
      <c r="H35" s="56">
        <v>754700</v>
      </c>
      <c r="I35" s="72">
        <f>19272.6+29025+3566+10300+27399.6+9288+20433.6+27399.6+17647.2+5600+9000+5400+9000+17879.4+26703+38268</f>
        <v>276182</v>
      </c>
      <c r="J35" s="72"/>
      <c r="K35" s="73"/>
      <c r="L35" s="73">
        <f t="shared" si="1"/>
        <v>478518</v>
      </c>
      <c r="M35" s="79">
        <f t="shared" si="0"/>
        <v>36.59493838611369</v>
      </c>
    </row>
    <row r="36" spans="1:13" ht="21.75" customHeight="1">
      <c r="A36" s="49">
        <v>5</v>
      </c>
      <c r="B36" s="12">
        <v>22001</v>
      </c>
      <c r="C36" s="7">
        <v>600</v>
      </c>
      <c r="D36" s="198" t="s">
        <v>164</v>
      </c>
      <c r="E36" s="141" t="s">
        <v>0</v>
      </c>
      <c r="F36" s="124">
        <v>5611320</v>
      </c>
      <c r="G36" s="227" t="s">
        <v>182</v>
      </c>
      <c r="H36" s="56">
        <v>430000</v>
      </c>
      <c r="I36" s="62">
        <f>14628.6+10216.8+19305+45260+3089.3+9288+259790</f>
        <v>361577.7</v>
      </c>
      <c r="J36" s="72"/>
      <c r="K36" s="73"/>
      <c r="L36" s="73">
        <f t="shared" si="1"/>
        <v>68422.29999999999</v>
      </c>
      <c r="M36" s="79">
        <f t="shared" si="0"/>
        <v>84.08783720930234</v>
      </c>
    </row>
    <row r="37" spans="1:13" ht="21.75" customHeight="1">
      <c r="A37" s="49">
        <v>6</v>
      </c>
      <c r="B37" s="12">
        <v>22001</v>
      </c>
      <c r="C37" s="7">
        <v>600</v>
      </c>
      <c r="D37" s="198" t="s">
        <v>164</v>
      </c>
      <c r="E37" s="141" t="s">
        <v>0</v>
      </c>
      <c r="F37" s="124">
        <v>5611320</v>
      </c>
      <c r="G37" s="227" t="s">
        <v>183</v>
      </c>
      <c r="H37" s="56">
        <v>334000</v>
      </c>
      <c r="I37" s="62">
        <f>31385+11593.8+30247+99700+29756+8140+8640</f>
        <v>219461.8</v>
      </c>
      <c r="J37" s="72"/>
      <c r="K37" s="73"/>
      <c r="L37" s="73">
        <f t="shared" si="1"/>
        <v>114538.20000000001</v>
      </c>
      <c r="M37" s="79">
        <f t="shared" si="0"/>
        <v>65.70712574850299</v>
      </c>
    </row>
    <row r="38" spans="1:13" ht="21.75" customHeight="1">
      <c r="A38" s="49">
        <v>7</v>
      </c>
      <c r="B38" s="12">
        <v>22001</v>
      </c>
      <c r="C38" s="7">
        <v>600</v>
      </c>
      <c r="D38" s="198" t="s">
        <v>164</v>
      </c>
      <c r="E38" s="141" t="s">
        <v>0</v>
      </c>
      <c r="F38" s="124">
        <v>5611320</v>
      </c>
      <c r="G38" s="125" t="s">
        <v>184</v>
      </c>
      <c r="H38" s="56">
        <v>1434000</v>
      </c>
      <c r="I38" s="62">
        <f>19504.8+99842+48912+243936.06+89637.6+10420+284204+40867.2+158475.4+234634.98+37152+5792+41099.4+72678</f>
        <v>1387155.44</v>
      </c>
      <c r="J38" s="72"/>
      <c r="K38" s="73"/>
      <c r="L38" s="73">
        <f t="shared" si="1"/>
        <v>46844.560000000056</v>
      </c>
      <c r="M38" s="79">
        <f t="shared" si="0"/>
        <v>96.73329428172941</v>
      </c>
    </row>
    <row r="39" spans="1:13" ht="21.75" customHeight="1">
      <c r="A39" s="49">
        <v>8</v>
      </c>
      <c r="B39" s="12">
        <v>22001</v>
      </c>
      <c r="C39" s="7">
        <v>600</v>
      </c>
      <c r="D39" s="198" t="s">
        <v>164</v>
      </c>
      <c r="E39" s="141" t="s">
        <v>0</v>
      </c>
      <c r="F39" s="124">
        <v>5611320</v>
      </c>
      <c r="G39" s="125" t="s">
        <v>201</v>
      </c>
      <c r="H39" s="102">
        <v>2103000</v>
      </c>
      <c r="I39" s="100">
        <f>38866+42492.6+80479+49137.3+840+17930+70055+34830+15325.2+182277+4420+75000+168052+9300+3680+70000+176472+98464+96187+357000</f>
        <v>1590807.1</v>
      </c>
      <c r="J39" s="101"/>
      <c r="K39" s="88"/>
      <c r="L39" s="88">
        <f t="shared" si="1"/>
        <v>512192.8999999999</v>
      </c>
      <c r="M39" s="81">
        <f t="shared" si="0"/>
        <v>75.64465525439849</v>
      </c>
    </row>
    <row r="40" spans="1:13" ht="21.75" customHeight="1">
      <c r="A40" s="49">
        <v>9</v>
      </c>
      <c r="B40" s="12">
        <v>22001</v>
      </c>
      <c r="C40" s="7">
        <v>600</v>
      </c>
      <c r="D40" s="198" t="s">
        <v>164</v>
      </c>
      <c r="E40" s="141" t="s">
        <v>0</v>
      </c>
      <c r="F40" s="124">
        <v>5611320</v>
      </c>
      <c r="G40" s="125" t="s">
        <v>237</v>
      </c>
      <c r="H40" s="102">
        <v>2330000</v>
      </c>
      <c r="I40" s="100">
        <f>27167.4+42449</f>
        <v>69616.4</v>
      </c>
      <c r="J40" s="101"/>
      <c r="K40" s="88"/>
      <c r="L40" s="88">
        <f>+H40-I40-J40-K40</f>
        <v>2260383.6</v>
      </c>
      <c r="M40" s="81">
        <f>I40/H40*100</f>
        <v>2.987828326180257</v>
      </c>
    </row>
    <row r="41" spans="1:13" ht="21.75" customHeight="1">
      <c r="A41" s="49"/>
      <c r="B41" s="12"/>
      <c r="C41" s="7"/>
      <c r="D41" s="198"/>
      <c r="E41" s="141"/>
      <c r="F41" s="124"/>
      <c r="G41" s="125" t="s">
        <v>238</v>
      </c>
      <c r="H41" s="102"/>
      <c r="I41" s="100"/>
      <c r="J41" s="101"/>
      <c r="K41" s="88"/>
      <c r="L41" s="88"/>
      <c r="M41" s="81"/>
    </row>
    <row r="42" spans="1:13" ht="21.75" customHeight="1">
      <c r="A42" s="49">
        <v>10</v>
      </c>
      <c r="B42" s="12">
        <v>22001</v>
      </c>
      <c r="C42" s="7">
        <v>600</v>
      </c>
      <c r="D42" s="198" t="s">
        <v>164</v>
      </c>
      <c r="E42" s="141" t="s">
        <v>0</v>
      </c>
      <c r="F42" s="124">
        <v>5611320</v>
      </c>
      <c r="G42" s="125" t="s">
        <v>239</v>
      </c>
      <c r="H42" s="102">
        <v>1597000</v>
      </c>
      <c r="I42" s="100">
        <f>31347+93000+96996+18861.12+26398+89895</f>
        <v>356497.12</v>
      </c>
      <c r="J42" s="101"/>
      <c r="K42" s="88"/>
      <c r="L42" s="88">
        <f aca="true" t="shared" si="2" ref="L42:L48">+H42-I42-J42-K42</f>
        <v>1240502.88</v>
      </c>
      <c r="M42" s="81">
        <f aca="true" t="shared" si="3" ref="M42:M48">I42/H42*100</f>
        <v>22.32292548528491</v>
      </c>
    </row>
    <row r="43" spans="1:13" ht="21.75" customHeight="1">
      <c r="A43" s="49">
        <v>11</v>
      </c>
      <c r="B43" s="12">
        <v>22001</v>
      </c>
      <c r="C43" s="7">
        <v>600</v>
      </c>
      <c r="D43" s="198" t="s">
        <v>164</v>
      </c>
      <c r="E43" s="141" t="s">
        <v>0</v>
      </c>
      <c r="F43" s="124">
        <v>5611320</v>
      </c>
      <c r="G43" s="125" t="s">
        <v>240</v>
      </c>
      <c r="H43" s="102">
        <v>2158000</v>
      </c>
      <c r="I43" s="100">
        <f>31347+33592+37788.91+23287.08</f>
        <v>126014.99</v>
      </c>
      <c r="J43" s="101"/>
      <c r="K43" s="88"/>
      <c r="L43" s="88">
        <f t="shared" si="2"/>
        <v>2031985.01</v>
      </c>
      <c r="M43" s="81">
        <f t="shared" si="3"/>
        <v>5.839434198331789</v>
      </c>
    </row>
    <row r="44" spans="1:13" ht="21.75" customHeight="1">
      <c r="A44" s="49">
        <v>12</v>
      </c>
      <c r="B44" s="12">
        <v>22001</v>
      </c>
      <c r="C44" s="7">
        <v>600</v>
      </c>
      <c r="D44" s="198" t="s">
        <v>164</v>
      </c>
      <c r="E44" s="141" t="s">
        <v>0</v>
      </c>
      <c r="F44" s="124">
        <v>5611320</v>
      </c>
      <c r="G44" s="125" t="s">
        <v>241</v>
      </c>
      <c r="H44" s="102">
        <v>818000</v>
      </c>
      <c r="I44" s="100">
        <f>18808.2+37662+44960+60398+95824.04</f>
        <v>257652.24</v>
      </c>
      <c r="J44" s="101"/>
      <c r="K44" s="88"/>
      <c r="L44" s="88">
        <f t="shared" si="2"/>
        <v>560347.76</v>
      </c>
      <c r="M44" s="81">
        <f t="shared" si="3"/>
        <v>31.497828850855747</v>
      </c>
    </row>
    <row r="45" spans="1:13" ht="21.75" customHeight="1">
      <c r="A45" s="49">
        <v>13</v>
      </c>
      <c r="B45" s="12">
        <v>22001</v>
      </c>
      <c r="C45" s="7">
        <v>600</v>
      </c>
      <c r="D45" s="198" t="s">
        <v>164</v>
      </c>
      <c r="E45" s="141" t="s">
        <v>0</v>
      </c>
      <c r="F45" s="124">
        <v>5611320</v>
      </c>
      <c r="G45" s="125" t="s">
        <v>242</v>
      </c>
      <c r="H45" s="102">
        <v>928000</v>
      </c>
      <c r="I45" s="100">
        <f>18808.2+38176+56118+34000+139099.95</f>
        <v>286202.15</v>
      </c>
      <c r="J45" s="101"/>
      <c r="K45" s="88"/>
      <c r="L45" s="88">
        <f t="shared" si="2"/>
        <v>641797.85</v>
      </c>
      <c r="M45" s="81">
        <f t="shared" si="3"/>
        <v>30.840748922413795</v>
      </c>
    </row>
    <row r="46" spans="1:13" ht="21.75" customHeight="1">
      <c r="A46" s="49">
        <v>14</v>
      </c>
      <c r="B46" s="12">
        <v>22001</v>
      </c>
      <c r="C46" s="7">
        <v>600</v>
      </c>
      <c r="D46" s="198" t="s">
        <v>164</v>
      </c>
      <c r="E46" s="141" t="s">
        <v>0</v>
      </c>
      <c r="F46" s="124">
        <v>5611320</v>
      </c>
      <c r="G46" s="125" t="s">
        <v>243</v>
      </c>
      <c r="H46" s="102">
        <v>731000</v>
      </c>
      <c r="I46" s="100">
        <f>16718.4+82039+79101.5+85680</f>
        <v>263538.9</v>
      </c>
      <c r="J46" s="101"/>
      <c r="K46" s="88"/>
      <c r="L46" s="88">
        <f t="shared" si="2"/>
        <v>467461.1</v>
      </c>
      <c r="M46" s="81">
        <f t="shared" si="3"/>
        <v>36.05183310533516</v>
      </c>
    </row>
    <row r="47" spans="1:13" ht="21.75" customHeight="1">
      <c r="A47" s="49">
        <v>15</v>
      </c>
      <c r="B47" s="12">
        <v>22001</v>
      </c>
      <c r="C47" s="7">
        <v>600</v>
      </c>
      <c r="D47" s="198" t="s">
        <v>164</v>
      </c>
      <c r="E47" s="141" t="s">
        <v>0</v>
      </c>
      <c r="F47" s="124">
        <v>5611320</v>
      </c>
      <c r="G47" s="125" t="s">
        <v>244</v>
      </c>
      <c r="H47" s="102">
        <v>744000</v>
      </c>
      <c r="I47" s="100">
        <f>16718.4+78139+72675+86126.5</f>
        <v>253658.9</v>
      </c>
      <c r="J47" s="101"/>
      <c r="K47" s="88"/>
      <c r="L47" s="88">
        <f t="shared" si="2"/>
        <v>490341.1</v>
      </c>
      <c r="M47" s="81">
        <f t="shared" si="3"/>
        <v>34.09393817204301</v>
      </c>
    </row>
    <row r="48" spans="1:13" ht="21.75" customHeight="1">
      <c r="A48" s="49">
        <v>16</v>
      </c>
      <c r="B48" s="12">
        <v>22001</v>
      </c>
      <c r="C48" s="7">
        <v>600</v>
      </c>
      <c r="D48" s="198" t="s">
        <v>164</v>
      </c>
      <c r="E48" s="141" t="s">
        <v>0</v>
      </c>
      <c r="F48" s="124">
        <v>5611320</v>
      </c>
      <c r="G48" s="125" t="s">
        <v>245</v>
      </c>
      <c r="H48" s="102">
        <v>355000</v>
      </c>
      <c r="I48" s="100">
        <f>6269.4+85398+87275</f>
        <v>178942.4</v>
      </c>
      <c r="J48" s="101"/>
      <c r="K48" s="88"/>
      <c r="L48" s="88">
        <f t="shared" si="2"/>
        <v>176057.6</v>
      </c>
      <c r="M48" s="81">
        <f t="shared" si="3"/>
        <v>50.40630985915493</v>
      </c>
    </row>
    <row r="49" spans="1:13" ht="21.75" customHeight="1">
      <c r="A49" s="49"/>
      <c r="B49" s="12"/>
      <c r="C49" s="7"/>
      <c r="D49" s="198"/>
      <c r="E49" s="141"/>
      <c r="F49" s="124"/>
      <c r="G49" s="125"/>
      <c r="H49" s="102"/>
      <c r="I49" s="100"/>
      <c r="J49" s="101"/>
      <c r="K49" s="88"/>
      <c r="L49" s="88"/>
      <c r="M49" s="81"/>
    </row>
    <row r="50" spans="1:13" s="1" customFormat="1" ht="23.25" customHeight="1" thickBot="1">
      <c r="A50" s="48"/>
      <c r="B50" s="12"/>
      <c r="C50" s="6"/>
      <c r="D50" s="97" t="s">
        <v>220</v>
      </c>
      <c r="E50" s="18"/>
      <c r="F50" s="18"/>
      <c r="G50" s="25" t="s">
        <v>235</v>
      </c>
      <c r="H50" s="106">
        <f>+H51</f>
        <v>2071500</v>
      </c>
      <c r="I50" s="106">
        <f>+I51</f>
        <v>884650.8</v>
      </c>
      <c r="J50" s="60">
        <f>+J51</f>
        <v>190220</v>
      </c>
      <c r="K50" s="60">
        <f>+K51</f>
        <v>0</v>
      </c>
      <c r="L50" s="60">
        <f>+L51</f>
        <v>996629.2</v>
      </c>
      <c r="M50" s="144">
        <f>I50/H50*100</f>
        <v>42.70580738595221</v>
      </c>
    </row>
    <row r="51" spans="1:13" ht="21.75" customHeight="1" thickTop="1">
      <c r="A51" s="49">
        <v>1</v>
      </c>
      <c r="B51" s="12">
        <v>22001</v>
      </c>
      <c r="C51" s="7">
        <v>600</v>
      </c>
      <c r="D51" s="198" t="s">
        <v>221</v>
      </c>
      <c r="E51" s="141" t="s">
        <v>0</v>
      </c>
      <c r="F51" s="124">
        <v>5611320</v>
      </c>
      <c r="G51" s="125" t="s">
        <v>223</v>
      </c>
      <c r="H51" s="151">
        <v>2071500</v>
      </c>
      <c r="I51" s="153">
        <f>91620+65000+31114.8+92220+92220+56740+92220+18576+92220+92220+81500+79000</f>
        <v>884650.8</v>
      </c>
      <c r="J51" s="153">
        <v>190220</v>
      </c>
      <c r="K51" s="130"/>
      <c r="L51" s="130">
        <f>+H51-I51-J51-K51</f>
        <v>996629.2</v>
      </c>
      <c r="M51" s="169">
        <f>I51/H51*100</f>
        <v>42.70580738595221</v>
      </c>
    </row>
    <row r="52" spans="1:13" ht="21.75" customHeight="1">
      <c r="A52" s="49"/>
      <c r="B52" s="12"/>
      <c r="C52" s="7"/>
      <c r="D52" s="198"/>
      <c r="E52" s="141"/>
      <c r="F52" s="124"/>
      <c r="G52" s="125"/>
      <c r="H52" s="156"/>
      <c r="I52" s="157"/>
      <c r="J52" s="158"/>
      <c r="K52" s="75"/>
      <c r="L52" s="75"/>
      <c r="M52" s="82"/>
    </row>
    <row r="53" spans="1:13" s="1" customFormat="1" ht="23.25" customHeight="1" thickBot="1">
      <c r="A53" s="48"/>
      <c r="B53" s="12"/>
      <c r="C53" s="6"/>
      <c r="D53" s="97" t="s">
        <v>224</v>
      </c>
      <c r="E53" s="18"/>
      <c r="F53" s="18"/>
      <c r="G53" s="25"/>
      <c r="H53" s="106">
        <f>SUM(H54:H55)</f>
        <v>2218100</v>
      </c>
      <c r="I53" s="106">
        <f>SUM(I54:I55)</f>
        <v>497132</v>
      </c>
      <c r="J53" s="60"/>
      <c r="K53" s="60">
        <f>SUM(K54:K55)</f>
        <v>0</v>
      </c>
      <c r="L53" s="60">
        <f>SUM(L54:L55)</f>
        <v>1720968</v>
      </c>
      <c r="M53" s="144">
        <f>I53/H53*100</f>
        <v>22.412515215725172</v>
      </c>
    </row>
    <row r="54" spans="1:13" ht="21.75" customHeight="1" thickTop="1">
      <c r="A54" s="49">
        <v>1</v>
      </c>
      <c r="B54" s="12">
        <v>22001</v>
      </c>
      <c r="C54" s="7">
        <v>600</v>
      </c>
      <c r="D54" s="198" t="s">
        <v>225</v>
      </c>
      <c r="E54" s="141" t="s">
        <v>0</v>
      </c>
      <c r="F54" s="124">
        <v>5611320</v>
      </c>
      <c r="G54" s="125" t="s">
        <v>226</v>
      </c>
      <c r="H54" s="151">
        <v>1336900</v>
      </c>
      <c r="I54" s="153">
        <f>91620+50000+92220+41380</f>
        <v>275220</v>
      </c>
      <c r="J54" s="153"/>
      <c r="K54" s="130"/>
      <c r="L54" s="130">
        <f>+H54-I54-J54-K54</f>
        <v>1061680</v>
      </c>
      <c r="M54" s="169">
        <f>I54/H54*100</f>
        <v>20.586431296282445</v>
      </c>
    </row>
    <row r="55" spans="1:13" ht="21.75" customHeight="1">
      <c r="A55" s="49">
        <v>2</v>
      </c>
      <c r="B55" s="12">
        <v>22001</v>
      </c>
      <c r="C55" s="7">
        <v>600</v>
      </c>
      <c r="D55" s="198" t="s">
        <v>225</v>
      </c>
      <c r="E55" s="141" t="s">
        <v>0</v>
      </c>
      <c r="F55" s="124">
        <v>5611320</v>
      </c>
      <c r="G55" s="125" t="s">
        <v>227</v>
      </c>
      <c r="H55" s="156">
        <v>881200</v>
      </c>
      <c r="I55" s="157">
        <f>91620+36280+94012</f>
        <v>221912</v>
      </c>
      <c r="J55" s="158"/>
      <c r="K55" s="75"/>
      <c r="L55" s="88">
        <f>+H55-I55-J55-K55</f>
        <v>659288</v>
      </c>
      <c r="M55" s="81">
        <f>I55/H55*100</f>
        <v>25.182932364956876</v>
      </c>
    </row>
    <row r="56" spans="1:13" ht="21.75" customHeight="1">
      <c r="A56" s="49"/>
      <c r="B56" s="12"/>
      <c r="C56" s="7"/>
      <c r="D56" s="198"/>
      <c r="E56" s="141"/>
      <c r="F56" s="124"/>
      <c r="G56" s="125"/>
      <c r="H56" s="120"/>
      <c r="I56" s="121"/>
      <c r="J56" s="122"/>
      <c r="K56" s="74"/>
      <c r="L56" s="74"/>
      <c r="M56" s="80"/>
    </row>
    <row r="57" spans="1:13" s="1" customFormat="1" ht="23.25" customHeight="1" thickBot="1">
      <c r="A57" s="48"/>
      <c r="B57" s="12"/>
      <c r="C57" s="6"/>
      <c r="D57" s="97" t="s">
        <v>262</v>
      </c>
      <c r="E57" s="18"/>
      <c r="F57" s="18"/>
      <c r="G57" s="25"/>
      <c r="H57" s="264">
        <f>+H58</f>
        <v>759000</v>
      </c>
      <c r="I57" s="264">
        <f>+I58</f>
        <v>0</v>
      </c>
      <c r="J57" s="265">
        <f>+J58</f>
        <v>0</v>
      </c>
      <c r="K57" s="265">
        <f>+K58</f>
        <v>0</v>
      </c>
      <c r="L57" s="265">
        <f>+L58</f>
        <v>759000</v>
      </c>
      <c r="M57" s="266">
        <f>I57/H57*100</f>
        <v>0</v>
      </c>
    </row>
    <row r="58" spans="1:13" ht="21.75" customHeight="1" thickTop="1">
      <c r="A58" s="49">
        <v>1</v>
      </c>
      <c r="B58" s="12">
        <v>22001</v>
      </c>
      <c r="C58" s="7">
        <v>600</v>
      </c>
      <c r="D58" s="198" t="s">
        <v>263</v>
      </c>
      <c r="E58" s="141" t="s">
        <v>0</v>
      </c>
      <c r="F58" s="124">
        <v>5611320</v>
      </c>
      <c r="G58" s="125" t="s">
        <v>264</v>
      </c>
      <c r="H58" s="151">
        <v>759000</v>
      </c>
      <c r="I58" s="153"/>
      <c r="J58" s="153"/>
      <c r="K58" s="130"/>
      <c r="L58" s="130">
        <f>+H58-I58-J58-K58</f>
        <v>759000</v>
      </c>
      <c r="M58" s="169">
        <f>I58/H58*100</f>
        <v>0</v>
      </c>
    </row>
    <row r="59" spans="1:13" ht="21.75" customHeight="1">
      <c r="A59" s="49"/>
      <c r="B59" s="12"/>
      <c r="C59" s="7"/>
      <c r="D59" s="198"/>
      <c r="E59" s="141"/>
      <c r="F59" s="124"/>
      <c r="G59" s="125"/>
      <c r="H59" s="156"/>
      <c r="I59" s="157"/>
      <c r="J59" s="158"/>
      <c r="K59" s="75"/>
      <c r="L59" s="75"/>
      <c r="M59" s="82"/>
    </row>
    <row r="60" spans="1:13" s="1" customFormat="1" ht="23.25" customHeight="1" thickBot="1">
      <c r="A60" s="48"/>
      <c r="B60" s="12"/>
      <c r="C60" s="6"/>
      <c r="D60" s="97" t="s">
        <v>185</v>
      </c>
      <c r="E60" s="18"/>
      <c r="F60" s="18"/>
      <c r="G60" s="25"/>
      <c r="H60" s="106">
        <f>+H61</f>
        <v>498000</v>
      </c>
      <c r="I60" s="106">
        <f>+I61</f>
        <v>224670</v>
      </c>
      <c r="J60" s="60">
        <f>+J61</f>
        <v>50016</v>
      </c>
      <c r="K60" s="60">
        <f>+K61</f>
        <v>0</v>
      </c>
      <c r="L60" s="60">
        <f>+L61</f>
        <v>223314</v>
      </c>
      <c r="M60" s="144">
        <f>I60/H60*100</f>
        <v>45.114457831325296</v>
      </c>
    </row>
    <row r="61" spans="1:13" ht="21.75" customHeight="1" thickTop="1">
      <c r="A61" s="49">
        <v>1</v>
      </c>
      <c r="B61" s="12">
        <v>22001</v>
      </c>
      <c r="C61" s="7">
        <v>600</v>
      </c>
      <c r="D61" s="198" t="s">
        <v>186</v>
      </c>
      <c r="E61" s="141" t="s">
        <v>0</v>
      </c>
      <c r="F61" s="124">
        <v>5611320</v>
      </c>
      <c r="G61" s="125" t="s">
        <v>187</v>
      </c>
      <c r="H61" s="151">
        <v>498000</v>
      </c>
      <c r="I61" s="153">
        <f>36760+157170+30740</f>
        <v>224670</v>
      </c>
      <c r="J61" s="153">
        <v>50016</v>
      </c>
      <c r="K61" s="130"/>
      <c r="L61" s="130">
        <f>+H61-I61-J61-K61</f>
        <v>223314</v>
      </c>
      <c r="M61" s="169">
        <f>I61/H61*100</f>
        <v>45.114457831325296</v>
      </c>
    </row>
    <row r="62" spans="1:13" ht="21.75" customHeight="1">
      <c r="A62" s="49"/>
      <c r="B62" s="12"/>
      <c r="C62" s="7"/>
      <c r="D62" s="198"/>
      <c r="E62" s="141"/>
      <c r="F62" s="124"/>
      <c r="G62" s="125"/>
      <c r="H62" s="56"/>
      <c r="I62" s="62"/>
      <c r="J62" s="72"/>
      <c r="K62" s="73"/>
      <c r="L62" s="73"/>
      <c r="M62" s="79"/>
    </row>
    <row r="63" spans="1:13" ht="21.75" customHeight="1">
      <c r="A63" s="49"/>
      <c r="B63" s="12"/>
      <c r="C63" s="7"/>
      <c r="D63" s="198"/>
      <c r="E63" s="141"/>
      <c r="F63" s="124"/>
      <c r="G63" s="125"/>
      <c r="H63" s="56"/>
      <c r="I63" s="62"/>
      <c r="J63" s="72"/>
      <c r="K63" s="73"/>
      <c r="L63" s="73"/>
      <c r="M63" s="79"/>
    </row>
    <row r="64" spans="1:13" ht="21.75" customHeight="1" thickBot="1">
      <c r="A64" s="41" t="s">
        <v>197</v>
      </c>
      <c r="B64" s="37"/>
      <c r="C64" s="38"/>
      <c r="D64" s="13"/>
      <c r="E64" s="13"/>
      <c r="F64" s="13"/>
      <c r="G64" s="110"/>
      <c r="H64" s="105">
        <f>+H66</f>
        <v>201400</v>
      </c>
      <c r="I64" s="105">
        <f>+I66</f>
        <v>48000</v>
      </c>
      <c r="J64" s="55">
        <f>+J66</f>
        <v>12000</v>
      </c>
      <c r="K64" s="55">
        <f>+K66</f>
        <v>0</v>
      </c>
      <c r="L64" s="55">
        <f>+L66</f>
        <v>141400</v>
      </c>
      <c r="M64" s="77">
        <f>I64/H64*100</f>
        <v>23.833167825223438</v>
      </c>
    </row>
    <row r="65" spans="1:13" ht="24.75" customHeight="1" thickTop="1">
      <c r="A65" s="41"/>
      <c r="B65" s="37"/>
      <c r="C65" s="38"/>
      <c r="D65" s="13"/>
      <c r="E65" s="13"/>
      <c r="F65" s="13"/>
      <c r="G65" s="110"/>
      <c r="H65" s="129"/>
      <c r="I65" s="231"/>
      <c r="J65" s="129"/>
      <c r="K65" s="129"/>
      <c r="L65" s="129"/>
      <c r="M65" s="169"/>
    </row>
    <row r="66" spans="1:13" s="1" customFormat="1" ht="23.25" customHeight="1" thickBot="1">
      <c r="A66" s="48"/>
      <c r="B66" s="12"/>
      <c r="C66" s="6"/>
      <c r="D66" s="97" t="s">
        <v>198</v>
      </c>
      <c r="E66" s="18"/>
      <c r="F66" s="18"/>
      <c r="G66" s="25"/>
      <c r="H66" s="106">
        <f>+H67</f>
        <v>201400</v>
      </c>
      <c r="I66" s="106">
        <f>+I67</f>
        <v>48000</v>
      </c>
      <c r="J66" s="60">
        <f>+J67</f>
        <v>12000</v>
      </c>
      <c r="K66" s="60">
        <f>+K67</f>
        <v>0</v>
      </c>
      <c r="L66" s="60">
        <f>+L67</f>
        <v>141400</v>
      </c>
      <c r="M66" s="144">
        <f>I66/H66*100</f>
        <v>23.833167825223438</v>
      </c>
    </row>
    <row r="67" spans="1:13" ht="21.75" customHeight="1" thickTop="1">
      <c r="A67" s="49">
        <v>1</v>
      </c>
      <c r="B67" s="12">
        <v>22001</v>
      </c>
      <c r="C67" s="7">
        <v>600</v>
      </c>
      <c r="D67" s="198" t="s">
        <v>199</v>
      </c>
      <c r="E67" s="141" t="s">
        <v>0</v>
      </c>
      <c r="F67" s="124">
        <v>5611500</v>
      </c>
      <c r="G67" s="177" t="s">
        <v>200</v>
      </c>
      <c r="H67" s="151">
        <v>201400</v>
      </c>
      <c r="I67" s="153">
        <f>24704+7296+16000</f>
        <v>48000</v>
      </c>
      <c r="J67" s="153">
        <v>12000</v>
      </c>
      <c r="K67" s="130"/>
      <c r="L67" s="130">
        <f>+H67-I67-J67-K67</f>
        <v>141400</v>
      </c>
      <c r="M67" s="169">
        <f>I67/H67*100</f>
        <v>23.833167825223438</v>
      </c>
    </row>
    <row r="68" spans="1:13" ht="21.75" customHeight="1">
      <c r="A68" s="49"/>
      <c r="B68" s="12"/>
      <c r="C68" s="7"/>
      <c r="D68" s="198"/>
      <c r="E68" s="141"/>
      <c r="F68" s="124"/>
      <c r="G68" s="125"/>
      <c r="H68" s="56"/>
      <c r="I68" s="62"/>
      <c r="J68" s="72"/>
      <c r="K68" s="73"/>
      <c r="L68" s="73"/>
      <c r="M68" s="79"/>
    </row>
    <row r="69" spans="1:13" s="4" customFormat="1" ht="21.75" customHeight="1">
      <c r="A69" s="111"/>
      <c r="B69" s="12"/>
      <c r="C69" s="7"/>
      <c r="D69" s="39"/>
      <c r="E69" s="141"/>
      <c r="F69" s="47"/>
      <c r="G69" s="149"/>
      <c r="H69" s="143"/>
      <c r="I69" s="66"/>
      <c r="J69" s="73"/>
      <c r="K69" s="73"/>
      <c r="L69" s="73"/>
      <c r="M69" s="79"/>
    </row>
    <row r="70" spans="1:13" ht="21.75" customHeight="1">
      <c r="A70" s="46"/>
      <c r="B70" s="92"/>
      <c r="C70" s="228"/>
      <c r="D70" s="117"/>
      <c r="E70" s="117"/>
      <c r="F70" s="118"/>
      <c r="G70" s="119"/>
      <c r="H70" s="120"/>
      <c r="I70" s="121"/>
      <c r="J70" s="122"/>
      <c r="K70" s="74"/>
      <c r="L70" s="80"/>
      <c r="M70" s="80"/>
    </row>
    <row r="72" spans="8:10" ht="21.75" customHeight="1">
      <c r="H72" s="67"/>
      <c r="I72" s="67"/>
      <c r="J72" s="67"/>
    </row>
    <row r="74" ht="21.75" customHeight="1">
      <c r="J74" s="126"/>
    </row>
  </sheetData>
  <sheetProtection/>
  <mergeCells count="3">
    <mergeCell ref="B4:C4"/>
    <mergeCell ref="A1:M1"/>
    <mergeCell ref="A2:M2"/>
  </mergeCells>
  <printOptions/>
  <pageMargins left="0.17" right="0.17" top="0.24" bottom="0.19" header="0.5" footer="0.4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U15"/>
  <sheetViews>
    <sheetView zoomScalePageLayoutView="0" workbookViewId="0" topLeftCell="A4">
      <selection activeCell="G20" sqref="G20"/>
    </sheetView>
  </sheetViews>
  <sheetFormatPr defaultColWidth="9.140625" defaultRowHeight="12.75"/>
  <cols>
    <col min="1" max="1" width="22.140625" style="27" customWidth="1"/>
    <col min="2" max="2" width="11.8515625" style="27" customWidth="1"/>
    <col min="3" max="3" width="12.140625" style="27" customWidth="1"/>
    <col min="4" max="4" width="11.8515625" style="27" customWidth="1"/>
    <col min="5" max="5" width="6.57421875" style="27" customWidth="1"/>
    <col min="6" max="6" width="14.140625" style="27" customWidth="1"/>
    <col min="7" max="7" width="14.57421875" style="27" customWidth="1"/>
    <col min="8" max="8" width="13.8515625" style="27" customWidth="1"/>
    <col min="9" max="9" width="6.7109375" style="27" customWidth="1"/>
    <col min="10" max="10" width="13.7109375" style="27" customWidth="1"/>
    <col min="11" max="11" width="12.7109375" style="27" customWidth="1"/>
    <col min="12" max="12" width="12.8515625" style="27" customWidth="1"/>
    <col min="13" max="13" width="6.7109375" style="27" customWidth="1"/>
    <col min="14" max="14" width="11.8515625" style="27" customWidth="1"/>
    <col min="15" max="15" width="11.28125" style="27" customWidth="1"/>
    <col min="16" max="16" width="12.140625" style="27" customWidth="1"/>
    <col min="17" max="17" width="7.28125" style="27" customWidth="1"/>
    <col min="18" max="18" width="14.140625" style="27" customWidth="1"/>
    <col min="19" max="19" width="14.00390625" style="27" customWidth="1"/>
    <col min="20" max="20" width="14.28125" style="27" customWidth="1"/>
    <col min="21" max="21" width="6.8515625" style="87" customWidth="1"/>
    <col min="22" max="16384" width="9.140625" style="27" customWidth="1"/>
  </cols>
  <sheetData>
    <row r="1" spans="1:21" ht="21">
      <c r="A1" s="289" t="s">
        <v>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</row>
    <row r="2" spans="1:21" s="28" customFormat="1" ht="21">
      <c r="A2" s="289" t="s">
        <v>173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</row>
    <row r="3" spans="1:21" s="28" customFormat="1" ht="21">
      <c r="A3" s="289" t="str">
        <f>'ชป.ชม.'!A2</f>
        <v>ณ วันที่  31  มีนาคม  2556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</row>
    <row r="4" spans="1:21" s="28" customFormat="1" ht="8.2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85"/>
    </row>
    <row r="5" spans="1:21" s="28" customFormat="1" ht="21">
      <c r="A5" s="293" t="s">
        <v>15</v>
      </c>
      <c r="B5" s="290" t="s">
        <v>3</v>
      </c>
      <c r="C5" s="291"/>
      <c r="D5" s="291"/>
      <c r="E5" s="292"/>
      <c r="F5" s="290" t="s">
        <v>12</v>
      </c>
      <c r="G5" s="291"/>
      <c r="H5" s="291"/>
      <c r="I5" s="292"/>
      <c r="J5" s="290" t="s">
        <v>14</v>
      </c>
      <c r="K5" s="291"/>
      <c r="L5" s="291"/>
      <c r="M5" s="292"/>
      <c r="N5" s="290" t="s">
        <v>13</v>
      </c>
      <c r="O5" s="291"/>
      <c r="P5" s="291"/>
      <c r="Q5" s="292"/>
      <c r="R5" s="290" t="s">
        <v>17</v>
      </c>
      <c r="S5" s="291"/>
      <c r="T5" s="291"/>
      <c r="U5" s="292"/>
    </row>
    <row r="6" spans="1:21" s="28" customFormat="1" ht="23.25" customHeight="1">
      <c r="A6" s="294"/>
      <c r="B6" s="296" t="s">
        <v>18</v>
      </c>
      <c r="C6" s="293" t="s">
        <v>8</v>
      </c>
      <c r="D6" s="293" t="s">
        <v>9</v>
      </c>
      <c r="E6" s="296" t="s">
        <v>20</v>
      </c>
      <c r="F6" s="296" t="s">
        <v>18</v>
      </c>
      <c r="G6" s="293" t="s">
        <v>8</v>
      </c>
      <c r="H6" s="293" t="s">
        <v>9</v>
      </c>
      <c r="I6" s="296" t="s">
        <v>20</v>
      </c>
      <c r="J6" s="296" t="s">
        <v>18</v>
      </c>
      <c r="K6" s="293" t="s">
        <v>8</v>
      </c>
      <c r="L6" s="293" t="s">
        <v>9</v>
      </c>
      <c r="M6" s="296" t="s">
        <v>20</v>
      </c>
      <c r="N6" s="296" t="s">
        <v>18</v>
      </c>
      <c r="O6" s="293" t="s">
        <v>8</v>
      </c>
      <c r="P6" s="293" t="s">
        <v>9</v>
      </c>
      <c r="Q6" s="296" t="s">
        <v>20</v>
      </c>
      <c r="R6" s="296" t="s">
        <v>18</v>
      </c>
      <c r="S6" s="293" t="s">
        <v>8</v>
      </c>
      <c r="T6" s="293" t="s">
        <v>9</v>
      </c>
      <c r="U6" s="298" t="s">
        <v>20</v>
      </c>
    </row>
    <row r="7" spans="1:21" s="28" customFormat="1" ht="37.5" customHeight="1">
      <c r="A7" s="295"/>
      <c r="B7" s="297"/>
      <c r="C7" s="295"/>
      <c r="D7" s="295"/>
      <c r="E7" s="297"/>
      <c r="F7" s="297"/>
      <c r="G7" s="295"/>
      <c r="H7" s="295"/>
      <c r="I7" s="297"/>
      <c r="J7" s="297"/>
      <c r="K7" s="295"/>
      <c r="L7" s="295"/>
      <c r="M7" s="297"/>
      <c r="N7" s="297"/>
      <c r="O7" s="295"/>
      <c r="P7" s="295"/>
      <c r="Q7" s="297"/>
      <c r="R7" s="297"/>
      <c r="S7" s="295"/>
      <c r="T7" s="295"/>
      <c r="U7" s="299"/>
    </row>
    <row r="8" spans="1:21" ht="21">
      <c r="A8" s="31"/>
      <c r="B8" s="32"/>
      <c r="C8" s="32"/>
      <c r="D8" s="33"/>
      <c r="E8" s="33"/>
      <c r="F8" s="32"/>
      <c r="G8" s="31"/>
      <c r="H8" s="225"/>
      <c r="I8" s="33"/>
      <c r="J8" s="32"/>
      <c r="K8" s="31"/>
      <c r="L8" s="33"/>
      <c r="M8" s="33"/>
      <c r="N8" s="33"/>
      <c r="O8" s="33"/>
      <c r="P8" s="33"/>
      <c r="Q8" s="33"/>
      <c r="R8" s="31"/>
      <c r="S8" s="32"/>
      <c r="T8" s="33"/>
      <c r="U8" s="86"/>
    </row>
    <row r="9" spans="1:21" ht="21">
      <c r="A9" s="314" t="s">
        <v>19</v>
      </c>
      <c r="B9" s="154">
        <f>SUM(B10:B11)</f>
        <v>882100</v>
      </c>
      <c r="C9" s="154">
        <f>SUM(C10:C11)</f>
        <v>367507.44</v>
      </c>
      <c r="D9" s="154">
        <f>SUM(D10:D11)</f>
        <v>514592.56</v>
      </c>
      <c r="E9" s="155">
        <f>+C9/B9*100</f>
        <v>41.662786532139215</v>
      </c>
      <c r="F9" s="155">
        <f>+F10</f>
        <v>27207519</v>
      </c>
      <c r="G9" s="155">
        <f>+G10</f>
        <v>11707295.740000004</v>
      </c>
      <c r="H9" s="155">
        <f>SUM(H10:H11)</f>
        <v>15500223.259999996</v>
      </c>
      <c r="I9" s="155">
        <f>+G9/F9*100</f>
        <v>43.02963360973856</v>
      </c>
      <c r="J9" s="155"/>
      <c r="K9" s="155"/>
      <c r="L9" s="155"/>
      <c r="M9" s="155"/>
      <c r="N9" s="155">
        <f>+N10</f>
        <v>201400</v>
      </c>
      <c r="O9" s="155">
        <f>+O10</f>
        <v>48000</v>
      </c>
      <c r="P9" s="155">
        <f>SUM(P10:P11)</f>
        <v>153400</v>
      </c>
      <c r="Q9" s="155">
        <f>+O9/N9*100</f>
        <v>23.833167825223438</v>
      </c>
      <c r="R9" s="155">
        <f>SUM(R10:R11)</f>
        <v>28291019</v>
      </c>
      <c r="S9" s="155">
        <f>SUM(S10:S11)</f>
        <v>12122803.180000003</v>
      </c>
      <c r="T9" s="155">
        <f>SUM(T10:T11)</f>
        <v>16168215.819999997</v>
      </c>
      <c r="U9" s="155">
        <f>S9*100/R9</f>
        <v>42.85035890718536</v>
      </c>
    </row>
    <row r="10" spans="1:21" ht="21">
      <c r="A10" s="35" t="s">
        <v>174</v>
      </c>
      <c r="B10" s="146">
        <f>+แม่แฝก!H9</f>
        <v>882100</v>
      </c>
      <c r="C10" s="146">
        <f>+แม่แฝก!I9</f>
        <v>367507.44</v>
      </c>
      <c r="D10" s="147">
        <f>+B10-C10</f>
        <v>514592.56</v>
      </c>
      <c r="E10" s="147">
        <f>+C10/B10*100</f>
        <v>41.662786532139215</v>
      </c>
      <c r="F10" s="146">
        <f>+แม่แฝก!H21</f>
        <v>27207519</v>
      </c>
      <c r="G10" s="146">
        <f>+แม่แฝก!I21</f>
        <v>11707295.740000004</v>
      </c>
      <c r="H10" s="146">
        <f>+F10-G10</f>
        <v>15500223.259999996</v>
      </c>
      <c r="I10" s="147">
        <f>+G10/F10*100</f>
        <v>43.02963360973856</v>
      </c>
      <c r="J10" s="146"/>
      <c r="K10" s="146"/>
      <c r="L10" s="146"/>
      <c r="M10" s="147"/>
      <c r="N10" s="147">
        <f>+แม่แฝก!H64</f>
        <v>201400</v>
      </c>
      <c r="O10" s="34">
        <f>+แม่แฝก!I64</f>
        <v>48000</v>
      </c>
      <c r="P10" s="146">
        <f>+N10-O10</f>
        <v>153400</v>
      </c>
      <c r="Q10" s="147">
        <f>+O10/N10*100</f>
        <v>23.833167825223438</v>
      </c>
      <c r="R10" s="147">
        <f>+B10+F10+J10+N10</f>
        <v>28291019</v>
      </c>
      <c r="S10" s="147">
        <f>+C10+G10+K10+O10</f>
        <v>12122803.180000003</v>
      </c>
      <c r="T10" s="147">
        <f>+R10-S10</f>
        <v>16168215.819999997</v>
      </c>
      <c r="U10" s="148">
        <f>S10*100/R10</f>
        <v>42.85035890718536</v>
      </c>
    </row>
    <row r="11" spans="1:21" ht="21">
      <c r="A11" s="36"/>
      <c r="B11" s="170"/>
      <c r="C11" s="170"/>
      <c r="D11" s="171"/>
      <c r="E11" s="171"/>
      <c r="F11" s="315"/>
      <c r="G11" s="315"/>
      <c r="H11" s="316"/>
      <c r="I11" s="171"/>
      <c r="J11" s="170"/>
      <c r="K11" s="170"/>
      <c r="L11" s="171"/>
      <c r="M11" s="171"/>
      <c r="N11" s="171"/>
      <c r="O11" s="171"/>
      <c r="P11" s="171"/>
      <c r="Q11" s="171"/>
      <c r="R11" s="316"/>
      <c r="S11" s="316"/>
      <c r="T11" s="316"/>
      <c r="U11" s="317"/>
    </row>
    <row r="14" spans="1:21" ht="21">
      <c r="A14" s="30"/>
      <c r="B14" s="30"/>
      <c r="C14" s="30"/>
      <c r="D14" s="30"/>
      <c r="E14" s="30"/>
      <c r="F14" s="30"/>
      <c r="J14" s="300"/>
      <c r="K14" s="300"/>
      <c r="L14" s="30"/>
      <c r="M14" s="30"/>
      <c r="N14" s="30"/>
      <c r="O14" s="30"/>
      <c r="P14" s="30"/>
      <c r="Q14" s="30"/>
      <c r="R14" s="30"/>
      <c r="S14" s="30"/>
      <c r="T14" s="30"/>
      <c r="U14" s="99"/>
    </row>
    <row r="15" spans="1:21" ht="21">
      <c r="A15" s="30"/>
      <c r="B15" s="30"/>
      <c r="C15" s="30"/>
      <c r="D15" s="30"/>
      <c r="E15" s="30"/>
      <c r="F15" s="30"/>
      <c r="J15" s="128"/>
      <c r="K15" s="127"/>
      <c r="L15" s="127"/>
      <c r="M15" s="127"/>
      <c r="N15" s="30"/>
      <c r="O15" s="30"/>
      <c r="P15" s="30"/>
      <c r="Q15" s="30"/>
      <c r="R15" s="30"/>
      <c r="S15" s="30"/>
      <c r="T15" s="30"/>
      <c r="U15" s="99"/>
    </row>
  </sheetData>
  <sheetProtection/>
  <mergeCells count="30">
    <mergeCell ref="H6:H7"/>
    <mergeCell ref="D6:D7"/>
    <mergeCell ref="F6:F7"/>
    <mergeCell ref="J14:K14"/>
    <mergeCell ref="A1:U1"/>
    <mergeCell ref="A2:U2"/>
    <mergeCell ref="A3:U3"/>
    <mergeCell ref="F5:I5"/>
    <mergeCell ref="A5:A7"/>
    <mergeCell ref="N5:Q5"/>
    <mergeCell ref="B5:E5"/>
    <mergeCell ref="Q6:Q7"/>
    <mergeCell ref="N6:N7"/>
    <mergeCell ref="G6:G7"/>
    <mergeCell ref="J5:M5"/>
    <mergeCell ref="O6:O7"/>
    <mergeCell ref="I6:I7"/>
    <mergeCell ref="C6:C7"/>
    <mergeCell ref="E6:E7"/>
    <mergeCell ref="B6:B7"/>
    <mergeCell ref="J6:J7"/>
    <mergeCell ref="R6:R7"/>
    <mergeCell ref="K6:K7"/>
    <mergeCell ref="L6:L7"/>
    <mergeCell ref="R5:U5"/>
    <mergeCell ref="P6:P7"/>
    <mergeCell ref="U6:U7"/>
    <mergeCell ref="T6:T7"/>
    <mergeCell ref="S6:S7"/>
    <mergeCell ref="M6:M7"/>
  </mergeCells>
  <printOptions/>
  <pageMargins left="0.2" right="0.17" top="0.3" bottom="0.16" header="0.5" footer="0.21"/>
  <pageSetup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8"/>
  <sheetViews>
    <sheetView zoomScalePageLayoutView="0" workbookViewId="0" topLeftCell="A151">
      <selection activeCell="E155" sqref="E155"/>
    </sheetView>
  </sheetViews>
  <sheetFormatPr defaultColWidth="9.140625" defaultRowHeight="12.75"/>
  <cols>
    <col min="1" max="1" width="25.421875" style="173" customWidth="1"/>
    <col min="2" max="2" width="22.57421875" style="138" customWidth="1"/>
    <col min="3" max="4" width="20.8515625" style="138" customWidth="1"/>
    <col min="5" max="5" width="20.28125" style="173" customWidth="1"/>
    <col min="6" max="6" width="15.00390625" style="173" customWidth="1"/>
    <col min="7" max="16384" width="9.140625" style="109" customWidth="1"/>
  </cols>
  <sheetData>
    <row r="1" spans="2:4" ht="23.25">
      <c r="B1" s="195" t="s">
        <v>18</v>
      </c>
      <c r="C1" s="195" t="s">
        <v>28</v>
      </c>
      <c r="D1" s="195" t="s">
        <v>9</v>
      </c>
    </row>
    <row r="2" spans="1:6" ht="23.25">
      <c r="A2" s="205" t="s">
        <v>102</v>
      </c>
      <c r="B2" s="206" t="e">
        <f>+B3+B4</f>
        <v>#REF!</v>
      </c>
      <c r="C2" s="206" t="e">
        <f>+C3+C4</f>
        <v>#REF!</v>
      </c>
      <c r="D2" s="206" t="e">
        <f>+D6+D12+D17+D19+D24+D26+D31+D34+D37+D46+D48+D53+D55+D57+D59+D64+D66+D68+D70+D74+D76+D82+D86+D89+D95+D97+D100+D102+D104+D108+D111+D113+D115+D91+D127</f>
        <v>#REF!</v>
      </c>
      <c r="E2" s="210" t="e">
        <f>+E3+E4</f>
        <v>#REF!</v>
      </c>
      <c r="F2" s="210" t="e">
        <f>+B2+E2</f>
        <v>#REF!</v>
      </c>
    </row>
    <row r="3" spans="1:6" ht="23.25">
      <c r="A3" s="211" t="s">
        <v>16</v>
      </c>
      <c r="B3" s="194" t="e">
        <f>+B6+B12+B17+B19+B24+B26+B31+B34+B37+B42+B46+B48+B53+B55+B57+B59+B64+B66+B68+B70+B72+B74+B76+B78+B80+B82+B84+B86+B89+B91+B93+B95+B97+B100+B102+B104+B106+B108</f>
        <v>#REF!</v>
      </c>
      <c r="C3" s="194" t="e">
        <f>+C6+C12+C17+C19+C24+C26+C31+C34+C37+C42+C46+C48+C53+C55+C57+C59+C64+C66+C68+C70+C72+C74+C76+C78+C80+C82+C84+C86+C89+C91+C93+C95+C97+C100+C102+C104+C106+C108</f>
        <v>#REF!</v>
      </c>
      <c r="D3" s="194" t="e">
        <f>+D6+D12+D17+D19+D24+D26+D31+D34+D37+D46+D48+D53+D55+D57+D59+D64+D66+D68+D70+D74+D76+D82+D86+D89+D91+D95+D97+D100+D102+D104+D108</f>
        <v>#REF!</v>
      </c>
      <c r="E3" s="210" t="e">
        <f>+E6+E19+E82+E84+E86+E91+E106</f>
        <v>#REF!</v>
      </c>
      <c r="F3" s="222" t="e">
        <f>+B3+E3</f>
        <v>#REF!</v>
      </c>
    </row>
    <row r="4" spans="1:6" ht="23.25">
      <c r="A4" s="212" t="s">
        <v>125</v>
      </c>
      <c r="B4" s="204" t="e">
        <f>+B111+B113+B115+B117+B119+B121+B123+B125+B127+B129+B131+B133+B135+B137+B139+B141+B143+B145+B147</f>
        <v>#REF!</v>
      </c>
      <c r="C4" s="204" t="e">
        <f>+C111+C113+C115+C117+C119+C121+C123+C125+C127+C129+C131+C133+C135+C137+C139+C141+C143+C145+C147</f>
        <v>#REF!</v>
      </c>
      <c r="D4" s="204" t="e">
        <f>+D111+D113+D115+D127</f>
        <v>#REF!</v>
      </c>
      <c r="E4" s="223"/>
      <c r="F4" s="223"/>
    </row>
    <row r="5" ht="23.25">
      <c r="E5" s="210"/>
    </row>
    <row r="6" spans="1:6" ht="23.25">
      <c r="A6" s="193" t="s">
        <v>29</v>
      </c>
      <c r="B6" s="194" t="e">
        <f>SUM(B7:B11)</f>
        <v>#REF!</v>
      </c>
      <c r="C6" s="194" t="e">
        <f>SUM(C7:C11)</f>
        <v>#REF!</v>
      </c>
      <c r="D6" s="194" t="e">
        <f>SUM(D7:D11)</f>
        <v>#REF!</v>
      </c>
      <c r="E6" s="196" t="e">
        <f>5779800-B6</f>
        <v>#REF!</v>
      </c>
      <c r="F6" s="219" t="e">
        <f>+E6+B6</f>
        <v>#REF!</v>
      </c>
    </row>
    <row r="7" spans="1:6" ht="23.25">
      <c r="A7" s="173" t="s">
        <v>76</v>
      </c>
      <c r="B7" s="138">
        <f>+'ชป.ชม.'!H42</f>
        <v>2037800</v>
      </c>
      <c r="C7" s="138">
        <f>+'ชป.ชม.'!I42</f>
        <v>953890.26</v>
      </c>
      <c r="D7" s="138">
        <f>+B7-C7</f>
        <v>1083909.74</v>
      </c>
      <c r="E7" s="218">
        <v>250000</v>
      </c>
      <c r="F7" s="196"/>
    </row>
    <row r="8" spans="1:4" ht="23.25">
      <c r="A8" s="173" t="s">
        <v>77</v>
      </c>
      <c r="B8" s="138">
        <f>+แม่แฝก!H9</f>
        <v>882100</v>
      </c>
      <c r="C8" s="138">
        <f>+แม่แฝก!I9</f>
        <v>367507.44</v>
      </c>
      <c r="D8" s="138">
        <f>+B8-C8</f>
        <v>514592.56</v>
      </c>
    </row>
    <row r="9" spans="1:4" ht="23.25">
      <c r="A9" s="173" t="s">
        <v>79</v>
      </c>
      <c r="B9" s="138" t="e">
        <f>+#REF!</f>
        <v>#REF!</v>
      </c>
      <c r="C9" s="138" t="e">
        <f>+#REF!</f>
        <v>#REF!</v>
      </c>
      <c r="D9" s="138" t="e">
        <f>+B9-C9</f>
        <v>#REF!</v>
      </c>
    </row>
    <row r="10" spans="1:4" ht="23.25">
      <c r="A10" s="173" t="s">
        <v>78</v>
      </c>
      <c r="B10" s="138" t="e">
        <f>+#REF!</f>
        <v>#REF!</v>
      </c>
      <c r="C10" s="138" t="e">
        <f>+#REF!</f>
        <v>#REF!</v>
      </c>
      <c r="D10" s="138" t="e">
        <f>+B10-C10</f>
        <v>#REF!</v>
      </c>
    </row>
    <row r="11" spans="1:4" ht="23.25">
      <c r="A11" s="173" t="s">
        <v>80</v>
      </c>
      <c r="B11" s="138" t="e">
        <f>+#REF!</f>
        <v>#REF!</v>
      </c>
      <c r="C11" s="138" t="e">
        <f>+#REF!</f>
        <v>#REF!</v>
      </c>
      <c r="D11" s="138" t="e">
        <f>+B11-C11</f>
        <v>#REF!</v>
      </c>
    </row>
    <row r="12" spans="1:4" ht="23.25">
      <c r="A12" s="193" t="s">
        <v>81</v>
      </c>
      <c r="B12" s="194" t="e">
        <f>SUM(B13:B16)</f>
        <v>#REF!</v>
      </c>
      <c r="C12" s="194" t="e">
        <f>SUM(C13:C16)</f>
        <v>#REF!</v>
      </c>
      <c r="D12" s="194" t="e">
        <f>SUM(D13:D16)</f>
        <v>#REF!</v>
      </c>
    </row>
    <row r="13" spans="1:4" ht="23.25">
      <c r="A13" s="173" t="s">
        <v>76</v>
      </c>
      <c r="B13" s="138" t="e">
        <f>+'ชป.ชม.'!#REF!</f>
        <v>#REF!</v>
      </c>
      <c r="C13" s="138" t="e">
        <f>+'ชป.ชม.'!#REF!</f>
        <v>#REF!</v>
      </c>
      <c r="D13" s="138" t="e">
        <f>+B13-C13</f>
        <v>#REF!</v>
      </c>
    </row>
    <row r="14" spans="1:4" ht="23.25">
      <c r="A14" s="173" t="s">
        <v>77</v>
      </c>
      <c r="B14" s="138" t="e">
        <f>+แม่แฝก!#REF!+แม่แฝก!#REF!+แม่แฝก!#REF!+แม่แฝก!#REF!+แม่แฝก!#REF!+แม่แฝก!#REF!+แม่แฝก!#REF!</f>
        <v>#REF!</v>
      </c>
      <c r="C14" s="138" t="e">
        <f>+แม่แฝก!#REF!+แม่แฝก!#REF!+แม่แฝก!#REF!+แม่แฝก!#REF!+แม่แฝก!#REF!+แม่แฝก!#REF!+แม่แฝก!#REF!</f>
        <v>#REF!</v>
      </c>
      <c r="D14" s="138" t="e">
        <f>+B14-C14</f>
        <v>#REF!</v>
      </c>
    </row>
    <row r="15" spans="1:4" ht="23.25">
      <c r="A15" s="173" t="s">
        <v>78</v>
      </c>
      <c r="B15" s="138" t="e">
        <f>+#REF!+#REF!</f>
        <v>#REF!</v>
      </c>
      <c r="C15" s="138" t="e">
        <f>+#REF!+#REF!</f>
        <v>#REF!</v>
      </c>
      <c r="D15" s="138" t="e">
        <f>+B15-C15</f>
        <v>#REF!</v>
      </c>
    </row>
    <row r="16" spans="1:4" ht="23.25">
      <c r="A16" s="173" t="s">
        <v>80</v>
      </c>
      <c r="B16" s="138" t="e">
        <f>+#REF!</f>
        <v>#REF!</v>
      </c>
      <c r="C16" s="138" t="e">
        <f>+#REF!</f>
        <v>#REF!</v>
      </c>
      <c r="D16" s="138" t="e">
        <f>+B16-C16</f>
        <v>#REF!</v>
      </c>
    </row>
    <row r="17" spans="1:4" ht="23.25">
      <c r="A17" s="193" t="s">
        <v>43</v>
      </c>
      <c r="B17" s="194" t="e">
        <f>SUM(B18)</f>
        <v>#REF!</v>
      </c>
      <c r="C17" s="194" t="e">
        <f>SUM(C18)</f>
        <v>#REF!</v>
      </c>
      <c r="D17" s="194" t="e">
        <f>SUM(D18)</f>
        <v>#REF!</v>
      </c>
    </row>
    <row r="18" spans="1:4" ht="23.25">
      <c r="A18" s="173" t="s">
        <v>78</v>
      </c>
      <c r="B18" s="138" t="e">
        <f>+#REF!</f>
        <v>#REF!</v>
      </c>
      <c r="C18" s="138" t="e">
        <f>+#REF!</f>
        <v>#REF!</v>
      </c>
      <c r="D18" s="138" t="e">
        <f>+B18-C18</f>
        <v>#REF!</v>
      </c>
    </row>
    <row r="19" spans="1:6" ht="23.25">
      <c r="A19" s="193" t="s">
        <v>37</v>
      </c>
      <c r="B19" s="194" t="e">
        <f>SUM(B20:B23)</f>
        <v>#REF!</v>
      </c>
      <c r="C19" s="194" t="e">
        <f>SUM(C20:C23)</f>
        <v>#REF!</v>
      </c>
      <c r="D19" s="194" t="e">
        <f>SUM(D20:D23)</f>
        <v>#REF!</v>
      </c>
      <c r="E19" s="210" t="e">
        <f>117470800-B19</f>
        <v>#REF!</v>
      </c>
      <c r="F19" s="220" t="e">
        <f>+E19+B19</f>
        <v>#REF!</v>
      </c>
    </row>
    <row r="20" spans="1:5" ht="23.25">
      <c r="A20" s="173" t="s">
        <v>76</v>
      </c>
      <c r="B20" s="138" t="e">
        <f>+'ชป.ชม.'!#REF!</f>
        <v>#REF!</v>
      </c>
      <c r="C20" s="138" t="e">
        <f>+'ชป.ชม.'!#REF!</f>
        <v>#REF!</v>
      </c>
      <c r="D20" s="138" t="e">
        <f>+B20-C20</f>
        <v>#REF!</v>
      </c>
      <c r="E20" s="195">
        <v>3430000</v>
      </c>
    </row>
    <row r="21" spans="1:5" ht="23.25">
      <c r="A21" s="173" t="s">
        <v>77</v>
      </c>
      <c r="B21" s="138" t="e">
        <f>+แม่แฝก!#REF!</f>
        <v>#REF!</v>
      </c>
      <c r="C21" s="138" t="e">
        <f>+แม่แฝก!#REF!</f>
        <v>#REF!</v>
      </c>
      <c r="D21" s="138" t="e">
        <f>+B21-C21</f>
        <v>#REF!</v>
      </c>
      <c r="E21" s="195"/>
    </row>
    <row r="22" spans="1:5" ht="23.25">
      <c r="A22" s="173" t="s">
        <v>79</v>
      </c>
      <c r="B22" s="138" t="e">
        <f>+#REF!</f>
        <v>#REF!</v>
      </c>
      <c r="C22" s="138" t="e">
        <f>+#REF!</f>
        <v>#REF!</v>
      </c>
      <c r="D22" s="138" t="e">
        <f>+B22-C22</f>
        <v>#REF!</v>
      </c>
      <c r="E22" s="195">
        <v>150000</v>
      </c>
    </row>
    <row r="23" spans="1:5" ht="23.25">
      <c r="A23" s="173" t="s">
        <v>78</v>
      </c>
      <c r="B23" s="138" t="e">
        <f>+#REF!</f>
        <v>#REF!</v>
      </c>
      <c r="C23" s="138" t="e">
        <f>+#REF!</f>
        <v>#REF!</v>
      </c>
      <c r="D23" s="138" t="e">
        <f>+B23-C23</f>
        <v>#REF!</v>
      </c>
      <c r="E23" s="195">
        <v>305000</v>
      </c>
    </row>
    <row r="24" spans="1:4" ht="23.25">
      <c r="A24" s="193" t="s">
        <v>90</v>
      </c>
      <c r="B24" s="194" t="e">
        <f>+B25</f>
        <v>#REF!</v>
      </c>
      <c r="C24" s="194" t="e">
        <f>+C25</f>
        <v>#REF!</v>
      </c>
      <c r="D24" s="194" t="e">
        <f>+D25</f>
        <v>#REF!</v>
      </c>
    </row>
    <row r="25" spans="1:4" ht="23.25">
      <c r="A25" s="173" t="s">
        <v>76</v>
      </c>
      <c r="B25" s="138" t="e">
        <f>+'ชป.ชม.'!#REF!</f>
        <v>#REF!</v>
      </c>
      <c r="C25" s="138" t="e">
        <f>+'ชป.ชม.'!#REF!</f>
        <v>#REF!</v>
      </c>
      <c r="D25" s="138" t="e">
        <f>+B25-C25</f>
        <v>#REF!</v>
      </c>
    </row>
    <row r="26" spans="1:4" ht="23.25">
      <c r="A26" s="193" t="s">
        <v>84</v>
      </c>
      <c r="B26" s="194" t="e">
        <f>SUM(B27:B30)</f>
        <v>#REF!</v>
      </c>
      <c r="C26" s="194" t="e">
        <f>SUM(C27:C30)</f>
        <v>#REF!</v>
      </c>
      <c r="D26" s="194" t="e">
        <f>SUM(D27:D30)</f>
        <v>#REF!</v>
      </c>
    </row>
    <row r="27" spans="1:4" ht="23.25">
      <c r="A27" s="173" t="s">
        <v>76</v>
      </c>
      <c r="B27" s="138" t="e">
        <f>+'ชป.ชม.'!#REF!</f>
        <v>#REF!</v>
      </c>
      <c r="C27" s="138" t="e">
        <f>+'ชป.ชม.'!#REF!</f>
        <v>#REF!</v>
      </c>
      <c r="D27" s="138" t="e">
        <f>+B27-C27</f>
        <v>#REF!</v>
      </c>
    </row>
    <row r="28" spans="1:4" ht="23.25">
      <c r="A28" s="173" t="s">
        <v>77</v>
      </c>
      <c r="B28" s="138" t="e">
        <f>+แม่แฝก!#REF!</f>
        <v>#REF!</v>
      </c>
      <c r="C28" s="138" t="e">
        <f>+แม่แฝก!#REF!</f>
        <v>#REF!</v>
      </c>
      <c r="D28" s="138" t="e">
        <f>+B28-C28</f>
        <v>#REF!</v>
      </c>
    </row>
    <row r="29" spans="1:4" ht="23.25">
      <c r="A29" s="173" t="s">
        <v>79</v>
      </c>
      <c r="B29" s="138" t="e">
        <f>+#REF!</f>
        <v>#REF!</v>
      </c>
      <c r="C29" s="138" t="e">
        <f>+#REF!</f>
        <v>#REF!</v>
      </c>
      <c r="D29" s="138" t="e">
        <f>+B29-C29</f>
        <v>#REF!</v>
      </c>
    </row>
    <row r="30" spans="1:4" ht="23.25">
      <c r="A30" s="173" t="s">
        <v>78</v>
      </c>
      <c r="B30" s="138" t="e">
        <f>+#REF!</f>
        <v>#REF!</v>
      </c>
      <c r="C30" s="138" t="e">
        <f>+#REF!</f>
        <v>#REF!</v>
      </c>
      <c r="D30" s="138" t="e">
        <f>+B30-C30</f>
        <v>#REF!</v>
      </c>
    </row>
    <row r="31" spans="1:4" ht="23.25">
      <c r="A31" s="193" t="s">
        <v>92</v>
      </c>
      <c r="B31" s="194" t="e">
        <f>SUM(B32:B33)</f>
        <v>#REF!</v>
      </c>
      <c r="C31" s="194" t="e">
        <f>SUM(C32:C33)</f>
        <v>#REF!</v>
      </c>
      <c r="D31" s="194" t="e">
        <f>+D33</f>
        <v>#REF!</v>
      </c>
    </row>
    <row r="32" spans="1:4" ht="23.25">
      <c r="A32" s="173" t="s">
        <v>76</v>
      </c>
      <c r="B32" s="145" t="e">
        <f>+'ชป.ชม.'!#REF!</f>
        <v>#REF!</v>
      </c>
      <c r="C32" s="145" t="e">
        <f>+'ชป.ชม.'!#REF!</f>
        <v>#REF!</v>
      </c>
      <c r="D32" s="138" t="e">
        <f>+B32-C32</f>
        <v>#REF!</v>
      </c>
    </row>
    <row r="33" spans="1:4" ht="23.25">
      <c r="A33" s="173" t="s">
        <v>79</v>
      </c>
      <c r="B33" s="138" t="e">
        <f>+#REF!</f>
        <v>#REF!</v>
      </c>
      <c r="C33" s="138" t="e">
        <f>+#REF!</f>
        <v>#REF!</v>
      </c>
      <c r="D33" s="138" t="e">
        <f>+B33-C33</f>
        <v>#REF!</v>
      </c>
    </row>
    <row r="34" spans="1:4" ht="23.25">
      <c r="A34" s="193" t="s">
        <v>93</v>
      </c>
      <c r="B34" s="194" t="e">
        <f>SUM(B35:B36)</f>
        <v>#REF!</v>
      </c>
      <c r="C34" s="194" t="e">
        <f>SUM(C35:C36)</f>
        <v>#REF!</v>
      </c>
      <c r="D34" s="194" t="e">
        <f>+D36</f>
        <v>#REF!</v>
      </c>
    </row>
    <row r="35" spans="1:4" ht="23.25">
      <c r="A35" s="173" t="s">
        <v>76</v>
      </c>
      <c r="B35" s="145" t="e">
        <f>+'ชป.ชม.'!#REF!</f>
        <v>#REF!</v>
      </c>
      <c r="C35" s="145" t="e">
        <f>+'ชป.ชม.'!#REF!</f>
        <v>#REF!</v>
      </c>
      <c r="D35" s="138" t="e">
        <f>+B35-C35</f>
        <v>#REF!</v>
      </c>
    </row>
    <row r="36" spans="1:4" ht="23.25">
      <c r="A36" s="173" t="s">
        <v>79</v>
      </c>
      <c r="B36" s="138" t="e">
        <f>+#REF!</f>
        <v>#REF!</v>
      </c>
      <c r="C36" s="138" t="e">
        <f>+#REF!</f>
        <v>#REF!</v>
      </c>
      <c r="D36" s="138" t="e">
        <f>+B36-C36</f>
        <v>#REF!</v>
      </c>
    </row>
    <row r="37" spans="1:4" ht="23.25">
      <c r="A37" s="193" t="s">
        <v>75</v>
      </c>
      <c r="B37" s="194" t="e">
        <f>SUM(B38:B41)</f>
        <v>#REF!</v>
      </c>
      <c r="C37" s="194" t="e">
        <f>SUM(C38:C41)</f>
        <v>#REF!</v>
      </c>
      <c r="D37" s="194" t="e">
        <f>SUM(D38:D41)</f>
        <v>#REF!</v>
      </c>
    </row>
    <row r="38" spans="1:4" ht="23.25">
      <c r="A38" s="173" t="s">
        <v>76</v>
      </c>
      <c r="B38" s="138" t="e">
        <f>+'ชป.ชม.'!#REF!</f>
        <v>#REF!</v>
      </c>
      <c r="C38" s="138" t="e">
        <f>+'ชป.ชม.'!#REF!</f>
        <v>#REF!</v>
      </c>
      <c r="D38" s="138" t="e">
        <f>+B38-C38</f>
        <v>#REF!</v>
      </c>
    </row>
    <row r="39" spans="1:4" ht="23.25">
      <c r="A39" s="173" t="s">
        <v>77</v>
      </c>
      <c r="B39" s="138" t="e">
        <f>+แม่แฝก!#REF!</f>
        <v>#REF!</v>
      </c>
      <c r="C39" s="138" t="e">
        <f>+แม่แฝก!#REF!</f>
        <v>#REF!</v>
      </c>
      <c r="D39" s="138" t="e">
        <f>+B39-C39</f>
        <v>#REF!</v>
      </c>
    </row>
    <row r="40" spans="1:4" ht="23.25">
      <c r="A40" s="173" t="s">
        <v>79</v>
      </c>
      <c r="B40" s="138" t="e">
        <f>+#REF!</f>
        <v>#REF!</v>
      </c>
      <c r="C40" s="138" t="e">
        <f>+#REF!</f>
        <v>#REF!</v>
      </c>
      <c r="D40" s="138" t="e">
        <f>+B40-C40</f>
        <v>#REF!</v>
      </c>
    </row>
    <row r="41" spans="1:4" ht="23.25">
      <c r="A41" s="173" t="s">
        <v>78</v>
      </c>
      <c r="B41" s="138" t="e">
        <f>+#REF!</f>
        <v>#REF!</v>
      </c>
      <c r="C41" s="138" t="e">
        <f>+#REF!</f>
        <v>#REF!</v>
      </c>
      <c r="D41" s="138" t="e">
        <f>+B41-C41</f>
        <v>#REF!</v>
      </c>
    </row>
    <row r="42" spans="1:4" ht="23.25">
      <c r="A42" s="193" t="s">
        <v>103</v>
      </c>
      <c r="B42" s="194" t="e">
        <f>SUM(B43:B45)</f>
        <v>#REF!</v>
      </c>
      <c r="C42" s="194" t="e">
        <f>SUM(C43:C45)</f>
        <v>#REF!</v>
      </c>
      <c r="D42" s="194" t="e">
        <f>SUM(D43:D46)</f>
        <v>#REF!</v>
      </c>
    </row>
    <row r="43" spans="1:4" ht="23.25">
      <c r="A43" s="173" t="s">
        <v>76</v>
      </c>
      <c r="B43" s="138" t="e">
        <f>+'ชป.ชม.'!#REF!</f>
        <v>#REF!</v>
      </c>
      <c r="C43" s="138" t="e">
        <f>+'ชป.ชม.'!#REF!</f>
        <v>#REF!</v>
      </c>
      <c r="D43" s="138" t="e">
        <f>+B43-C43</f>
        <v>#REF!</v>
      </c>
    </row>
    <row r="44" spans="1:4" ht="23.25">
      <c r="A44" s="173" t="s">
        <v>77</v>
      </c>
      <c r="B44" s="138" t="e">
        <f>+แม่แฝก!#REF!</f>
        <v>#REF!</v>
      </c>
      <c r="C44" s="138" t="e">
        <f>+แม่แฝก!#REF!</f>
        <v>#REF!</v>
      </c>
      <c r="D44" s="138" t="e">
        <f>+B44-C44</f>
        <v>#REF!</v>
      </c>
    </row>
    <row r="45" spans="1:4" ht="23.25">
      <c r="A45" s="173" t="s">
        <v>79</v>
      </c>
      <c r="B45" s="138" t="e">
        <f>+#REF!</f>
        <v>#REF!</v>
      </c>
      <c r="C45" s="138" t="e">
        <f>+#REF!</f>
        <v>#REF!</v>
      </c>
      <c r="D45" s="138" t="e">
        <f>+B45-C45</f>
        <v>#REF!</v>
      </c>
    </row>
    <row r="46" spans="1:4" ht="23.25">
      <c r="A46" s="193" t="s">
        <v>39</v>
      </c>
      <c r="B46" s="194" t="e">
        <f>SUM(B47)</f>
        <v>#REF!</v>
      </c>
      <c r="C46" s="194" t="e">
        <f>SUM(C47)</f>
        <v>#REF!</v>
      </c>
      <c r="D46" s="194" t="e">
        <f>SUM(D47)</f>
        <v>#REF!</v>
      </c>
    </row>
    <row r="47" spans="1:4" ht="23.25">
      <c r="A47" s="173" t="s">
        <v>79</v>
      </c>
      <c r="B47" s="138" t="e">
        <f>+#REF!</f>
        <v>#REF!</v>
      </c>
      <c r="C47" s="138" t="e">
        <f>+#REF!</f>
        <v>#REF!</v>
      </c>
      <c r="D47" s="138" t="e">
        <f>+B47-C47</f>
        <v>#REF!</v>
      </c>
    </row>
    <row r="48" spans="1:4" ht="23.25">
      <c r="A48" s="193" t="s">
        <v>74</v>
      </c>
      <c r="B48" s="194" t="e">
        <f>SUM(B49:B52)</f>
        <v>#REF!</v>
      </c>
      <c r="C48" s="194" t="e">
        <f>SUM(C49:C52)</f>
        <v>#REF!</v>
      </c>
      <c r="D48" s="194" t="e">
        <f>SUM(D49:D52)</f>
        <v>#REF!</v>
      </c>
    </row>
    <row r="49" spans="1:4" ht="23.25">
      <c r="A49" s="173" t="s">
        <v>76</v>
      </c>
      <c r="B49" s="138" t="e">
        <f>+'ชป.ชม.'!#REF!</f>
        <v>#REF!</v>
      </c>
      <c r="C49" s="138" t="e">
        <f>+'ชป.ชม.'!#REF!</f>
        <v>#REF!</v>
      </c>
      <c r="D49" s="138" t="e">
        <f>+B49-C49</f>
        <v>#REF!</v>
      </c>
    </row>
    <row r="50" spans="1:4" ht="23.25">
      <c r="A50" s="173" t="s">
        <v>77</v>
      </c>
      <c r="B50" s="138" t="e">
        <f>+แม่แฝก!#REF!</f>
        <v>#REF!</v>
      </c>
      <c r="C50" s="138" t="e">
        <f>+แม่แฝก!#REF!</f>
        <v>#REF!</v>
      </c>
      <c r="D50" s="138" t="e">
        <f>+B50-C50</f>
        <v>#REF!</v>
      </c>
    </row>
    <row r="51" spans="1:4" ht="23.25">
      <c r="A51" s="173" t="s">
        <v>79</v>
      </c>
      <c r="B51" s="138" t="e">
        <f>+#REF!</f>
        <v>#REF!</v>
      </c>
      <c r="C51" s="138" t="e">
        <f>+#REF!</f>
        <v>#REF!</v>
      </c>
      <c r="D51" s="138" t="e">
        <f>+B51-C51</f>
        <v>#REF!</v>
      </c>
    </row>
    <row r="52" spans="1:4" ht="23.25">
      <c r="A52" s="173" t="s">
        <v>78</v>
      </c>
      <c r="B52" s="138" t="e">
        <f>+#REF!</f>
        <v>#REF!</v>
      </c>
      <c r="C52" s="138" t="e">
        <f>+#REF!</f>
        <v>#REF!</v>
      </c>
      <c r="D52" s="138" t="e">
        <f>+B52-C52</f>
        <v>#REF!</v>
      </c>
    </row>
    <row r="53" spans="1:4" ht="23.25">
      <c r="A53" s="193" t="s">
        <v>40</v>
      </c>
      <c r="B53" s="194" t="e">
        <f>+B54</f>
        <v>#REF!</v>
      </c>
      <c r="C53" s="194" t="e">
        <f>+C54</f>
        <v>#REF!</v>
      </c>
      <c r="D53" s="194" t="e">
        <f>+D54</f>
        <v>#REF!</v>
      </c>
    </row>
    <row r="54" spans="1:4" ht="23.25">
      <c r="A54" s="173" t="s">
        <v>77</v>
      </c>
      <c r="B54" s="138" t="e">
        <f>+แม่แฝก!#REF!</f>
        <v>#REF!</v>
      </c>
      <c r="C54" s="138" t="e">
        <f>+แม่แฝก!#REF!</f>
        <v>#REF!</v>
      </c>
      <c r="D54" s="138" t="e">
        <f>+B54-C54</f>
        <v>#REF!</v>
      </c>
    </row>
    <row r="55" spans="1:4" ht="23.25">
      <c r="A55" s="193" t="s">
        <v>38</v>
      </c>
      <c r="B55" s="194" t="e">
        <f>+B56</f>
        <v>#REF!</v>
      </c>
      <c r="C55" s="194" t="e">
        <f>+C56</f>
        <v>#REF!</v>
      </c>
      <c r="D55" s="194" t="e">
        <f>+D56</f>
        <v>#REF!</v>
      </c>
    </row>
    <row r="56" spans="1:4" ht="23.25">
      <c r="A56" s="173" t="s">
        <v>77</v>
      </c>
      <c r="B56" s="138" t="e">
        <f>+แม่แฝก!#REF!</f>
        <v>#REF!</v>
      </c>
      <c r="C56" s="138" t="e">
        <f>+แม่แฝก!#REF!</f>
        <v>#REF!</v>
      </c>
      <c r="D56" s="138" t="e">
        <f>+B56-C56</f>
        <v>#REF!</v>
      </c>
    </row>
    <row r="57" spans="1:4" ht="23.25">
      <c r="A57" s="193" t="s">
        <v>89</v>
      </c>
      <c r="B57" s="194" t="e">
        <f>+B58</f>
        <v>#REF!</v>
      </c>
      <c r="C57" s="194" t="e">
        <f>+C58</f>
        <v>#REF!</v>
      </c>
      <c r="D57" s="194" t="e">
        <f>+D58</f>
        <v>#REF!</v>
      </c>
    </row>
    <row r="58" spans="1:4" ht="23.25">
      <c r="A58" s="173" t="s">
        <v>94</v>
      </c>
      <c r="B58" s="138" t="e">
        <f>+#REF!</f>
        <v>#REF!</v>
      </c>
      <c r="C58" s="138" t="e">
        <f>+#REF!</f>
        <v>#REF!</v>
      </c>
      <c r="D58" s="138" t="e">
        <f>+B58-C58</f>
        <v>#REF!</v>
      </c>
    </row>
    <row r="59" spans="1:5" ht="23.25">
      <c r="A59" s="193" t="s">
        <v>87</v>
      </c>
      <c r="B59" s="194" t="e">
        <f>SUM(B60:B63)</f>
        <v>#REF!</v>
      </c>
      <c r="C59" s="194" t="e">
        <f>SUM(C60:C63)</f>
        <v>#REF!</v>
      </c>
      <c r="D59" s="194" t="e">
        <f>SUM(D60:D63)</f>
        <v>#REF!</v>
      </c>
      <c r="E59" s="210"/>
    </row>
    <row r="60" spans="1:4" ht="23.25">
      <c r="A60" s="173" t="s">
        <v>76</v>
      </c>
      <c r="B60" s="138" t="e">
        <f>+'ชป.ชม.'!#REF!</f>
        <v>#REF!</v>
      </c>
      <c r="C60" s="138" t="e">
        <f>+'ชป.ชม.'!#REF!</f>
        <v>#REF!</v>
      </c>
      <c r="D60" s="138" t="e">
        <f>+B60-C60</f>
        <v>#REF!</v>
      </c>
    </row>
    <row r="61" spans="1:4" ht="23.25">
      <c r="A61" s="173" t="s">
        <v>77</v>
      </c>
      <c r="B61" s="138" t="e">
        <f>+แม่แฝก!#REF!</f>
        <v>#REF!</v>
      </c>
      <c r="C61" s="138" t="e">
        <f>+แม่แฝก!#REF!</f>
        <v>#REF!</v>
      </c>
      <c r="D61" s="138" t="e">
        <f>+B61-C61</f>
        <v>#REF!</v>
      </c>
    </row>
    <row r="62" spans="1:4" ht="23.25">
      <c r="A62" s="173" t="s">
        <v>79</v>
      </c>
      <c r="B62" s="138" t="e">
        <f>+#REF!</f>
        <v>#REF!</v>
      </c>
      <c r="C62" s="138" t="e">
        <f>+#REF!</f>
        <v>#REF!</v>
      </c>
      <c r="D62" s="138" t="e">
        <f>+B62-C62</f>
        <v>#REF!</v>
      </c>
    </row>
    <row r="63" spans="1:4" ht="23.25">
      <c r="A63" s="173" t="s">
        <v>78</v>
      </c>
      <c r="B63" s="138" t="e">
        <f>+#REF!</f>
        <v>#REF!</v>
      </c>
      <c r="C63" s="138" t="e">
        <f>+#REF!</f>
        <v>#REF!</v>
      </c>
      <c r="D63" s="138" t="e">
        <f>+B63-C63</f>
        <v>#REF!</v>
      </c>
    </row>
    <row r="64" spans="1:4" ht="23.25">
      <c r="A64" s="193" t="s">
        <v>88</v>
      </c>
      <c r="B64" s="194" t="e">
        <f>+B65</f>
        <v>#REF!</v>
      </c>
      <c r="C64" s="194" t="e">
        <f>+C65</f>
        <v>#REF!</v>
      </c>
      <c r="D64" s="194" t="e">
        <f>+D65</f>
        <v>#REF!</v>
      </c>
    </row>
    <row r="65" spans="1:4" ht="23.25">
      <c r="A65" s="173" t="s">
        <v>80</v>
      </c>
      <c r="B65" s="138" t="e">
        <f>+#REF!</f>
        <v>#REF!</v>
      </c>
      <c r="C65" s="138" t="e">
        <f>+#REF!</f>
        <v>#REF!</v>
      </c>
      <c r="D65" s="138" t="e">
        <f>+B65-C65</f>
        <v>#REF!</v>
      </c>
    </row>
    <row r="66" spans="1:4" ht="23.25">
      <c r="A66" s="193" t="s">
        <v>31</v>
      </c>
      <c r="B66" s="194" t="e">
        <f>+B67</f>
        <v>#REF!</v>
      </c>
      <c r="C66" s="194" t="e">
        <f>+C67</f>
        <v>#REF!</v>
      </c>
      <c r="D66" s="194" t="e">
        <f>+D67</f>
        <v>#REF!</v>
      </c>
    </row>
    <row r="67" spans="1:6" ht="23.25">
      <c r="A67" s="173" t="s">
        <v>94</v>
      </c>
      <c r="B67" s="138" t="e">
        <f>+#REF!</f>
        <v>#REF!</v>
      </c>
      <c r="C67" s="138" t="e">
        <f>+#REF!</f>
        <v>#REF!</v>
      </c>
      <c r="D67" s="138" t="e">
        <f>+B67-C67</f>
        <v>#REF!</v>
      </c>
      <c r="E67" s="196"/>
      <c r="F67" s="196"/>
    </row>
    <row r="68" spans="1:4" ht="23.25">
      <c r="A68" s="193" t="s">
        <v>95</v>
      </c>
      <c r="B68" s="194" t="e">
        <f>+B69</f>
        <v>#REF!</v>
      </c>
      <c r="C68" s="194" t="e">
        <f>+C69</f>
        <v>#REF!</v>
      </c>
      <c r="D68" s="194" t="e">
        <f>+D69</f>
        <v>#REF!</v>
      </c>
    </row>
    <row r="69" spans="1:6" ht="23.25">
      <c r="A69" s="173" t="s">
        <v>94</v>
      </c>
      <c r="B69" s="138" t="e">
        <f>+#REF!</f>
        <v>#REF!</v>
      </c>
      <c r="C69" s="138" t="e">
        <f>+#REF!</f>
        <v>#REF!</v>
      </c>
      <c r="D69" s="138" t="e">
        <f>+B69-C69</f>
        <v>#REF!</v>
      </c>
      <c r="E69" s="196"/>
      <c r="F69" s="196"/>
    </row>
    <row r="70" spans="1:4" ht="23.25">
      <c r="A70" s="193" t="s">
        <v>41</v>
      </c>
      <c r="B70" s="194" t="e">
        <f>+B71</f>
        <v>#REF!</v>
      </c>
      <c r="C70" s="194" t="e">
        <f>+C71</f>
        <v>#REF!</v>
      </c>
      <c r="D70" s="194" t="e">
        <f>+D71</f>
        <v>#REF!</v>
      </c>
    </row>
    <row r="71" spans="1:6" ht="23.25">
      <c r="A71" s="173" t="s">
        <v>94</v>
      </c>
      <c r="B71" s="138" t="e">
        <f>+#REF!</f>
        <v>#REF!</v>
      </c>
      <c r="C71" s="138" t="e">
        <f>+#REF!</f>
        <v>#REF!</v>
      </c>
      <c r="D71" s="138" t="e">
        <f>+B71-C71</f>
        <v>#REF!</v>
      </c>
      <c r="E71" s="196"/>
      <c r="F71" s="196"/>
    </row>
    <row r="72" spans="1:4" ht="23.25">
      <c r="A72" s="193" t="s">
        <v>110</v>
      </c>
      <c r="B72" s="194" t="e">
        <f>+B73</f>
        <v>#REF!</v>
      </c>
      <c r="C72" s="194" t="e">
        <f>+C73</f>
        <v>#REF!</v>
      </c>
      <c r="D72" s="194" t="e">
        <f>+D73</f>
        <v>#REF!</v>
      </c>
    </row>
    <row r="73" spans="1:6" ht="23.25">
      <c r="A73" s="173" t="s">
        <v>76</v>
      </c>
      <c r="B73" s="138" t="e">
        <f>+'ชป.ชม.'!#REF!</f>
        <v>#REF!</v>
      </c>
      <c r="C73" s="138" t="e">
        <f>+'ชป.ชม.'!#REF!</f>
        <v>#REF!</v>
      </c>
      <c r="D73" s="138" t="e">
        <f>+B73-C73</f>
        <v>#REF!</v>
      </c>
      <c r="E73" s="196"/>
      <c r="F73" s="196"/>
    </row>
    <row r="74" spans="1:4" ht="23.25">
      <c r="A74" s="193" t="s">
        <v>36</v>
      </c>
      <c r="B74" s="194" t="e">
        <f>+B75</f>
        <v>#REF!</v>
      </c>
      <c r="C74" s="194" t="e">
        <f>+C75</f>
        <v>#REF!</v>
      </c>
      <c r="D74" s="194" t="e">
        <f>+D75</f>
        <v>#REF!</v>
      </c>
    </row>
    <row r="75" spans="1:6" ht="23.25">
      <c r="A75" s="173" t="s">
        <v>94</v>
      </c>
      <c r="B75" s="138" t="e">
        <f>+#REF!</f>
        <v>#REF!</v>
      </c>
      <c r="C75" s="138" t="e">
        <f>+#REF!</f>
        <v>#REF!</v>
      </c>
      <c r="D75" s="138" t="e">
        <f>+B75-C75</f>
        <v>#REF!</v>
      </c>
      <c r="E75" s="196"/>
      <c r="F75" s="196"/>
    </row>
    <row r="76" spans="1:4" ht="23.25">
      <c r="A76" s="193" t="s">
        <v>86</v>
      </c>
      <c r="B76" s="194" t="e">
        <f>+B77</f>
        <v>#REF!</v>
      </c>
      <c r="C76" s="194" t="e">
        <f>+C77</f>
        <v>#REF!</v>
      </c>
      <c r="D76" s="194" t="e">
        <f>+D77</f>
        <v>#REF!</v>
      </c>
    </row>
    <row r="77" spans="1:6" ht="23.25">
      <c r="A77" s="173" t="s">
        <v>96</v>
      </c>
      <c r="B77" s="138" t="e">
        <f>+#REF!</f>
        <v>#REF!</v>
      </c>
      <c r="C77" s="138" t="e">
        <f>+#REF!</f>
        <v>#REF!</v>
      </c>
      <c r="D77" s="138" t="e">
        <f>+B77-C77</f>
        <v>#REF!</v>
      </c>
      <c r="E77" s="196"/>
      <c r="F77" s="196"/>
    </row>
    <row r="78" spans="1:4" ht="23.25">
      <c r="A78" s="193" t="s">
        <v>114</v>
      </c>
      <c r="B78" s="194" t="e">
        <f>+B79</f>
        <v>#REF!</v>
      </c>
      <c r="C78" s="194" t="e">
        <f>+C79</f>
        <v>#REF!</v>
      </c>
      <c r="D78" s="194" t="e">
        <f>+D79</f>
        <v>#REF!</v>
      </c>
    </row>
    <row r="79" spans="1:6" ht="23.25">
      <c r="A79" s="173" t="s">
        <v>94</v>
      </c>
      <c r="B79" s="138" t="e">
        <f>+#REF!</f>
        <v>#REF!</v>
      </c>
      <c r="C79" s="138" t="e">
        <f>+#REF!</f>
        <v>#REF!</v>
      </c>
      <c r="D79" s="138" t="e">
        <f>+B79-C79</f>
        <v>#REF!</v>
      </c>
      <c r="E79" s="196"/>
      <c r="F79" s="196"/>
    </row>
    <row r="80" spans="1:4" ht="23.25">
      <c r="A80" s="193" t="s">
        <v>109</v>
      </c>
      <c r="B80" s="194" t="e">
        <f>+B81</f>
        <v>#REF!</v>
      </c>
      <c r="C80" s="194" t="e">
        <f>+C81</f>
        <v>#REF!</v>
      </c>
      <c r="D80" s="194" t="e">
        <f>+D81</f>
        <v>#REF!</v>
      </c>
    </row>
    <row r="81" spans="1:6" ht="23.25">
      <c r="A81" s="173" t="s">
        <v>94</v>
      </c>
      <c r="B81" s="138" t="e">
        <f>+#REF!</f>
        <v>#REF!</v>
      </c>
      <c r="C81" s="138" t="e">
        <f>+#REF!</f>
        <v>#REF!</v>
      </c>
      <c r="D81" s="138" t="e">
        <f>+B81-C81</f>
        <v>#REF!</v>
      </c>
      <c r="E81" s="196"/>
      <c r="F81" s="196"/>
    </row>
    <row r="82" spans="1:6" ht="23.25">
      <c r="A82" s="193" t="s">
        <v>32</v>
      </c>
      <c r="B82" s="194" t="e">
        <f>+B83</f>
        <v>#REF!</v>
      </c>
      <c r="C82" s="194" t="e">
        <f>+C83</f>
        <v>#REF!</v>
      </c>
      <c r="D82" s="194" t="e">
        <f>+D83</f>
        <v>#REF!</v>
      </c>
      <c r="E82" s="210" t="e">
        <f>5013210-B82</f>
        <v>#REF!</v>
      </c>
      <c r="F82" s="210" t="e">
        <f>+B82+E82</f>
        <v>#REF!</v>
      </c>
    </row>
    <row r="83" spans="1:6" ht="23.25">
      <c r="A83" s="173" t="s">
        <v>96</v>
      </c>
      <c r="B83" s="138" t="e">
        <f>+#REF!</f>
        <v>#REF!</v>
      </c>
      <c r="C83" s="138" t="e">
        <f>+#REF!</f>
        <v>#REF!</v>
      </c>
      <c r="D83" s="138" t="e">
        <f>+B83-C83</f>
        <v>#REF!</v>
      </c>
      <c r="E83" s="196"/>
      <c r="F83" s="196"/>
    </row>
    <row r="84" spans="1:5" ht="23.25">
      <c r="A84" s="193" t="s">
        <v>118</v>
      </c>
      <c r="B84" s="194">
        <f>+B85</f>
        <v>0</v>
      </c>
      <c r="C84" s="194">
        <f>+C85</f>
        <v>0</v>
      </c>
      <c r="D84" s="194">
        <f>+D85</f>
        <v>0</v>
      </c>
      <c r="E84" s="210">
        <v>324000</v>
      </c>
    </row>
    <row r="85" spans="1:6" ht="23.25">
      <c r="A85" s="173" t="s">
        <v>96</v>
      </c>
      <c r="D85" s="138">
        <f>+B85-C85</f>
        <v>0</v>
      </c>
      <c r="E85" s="196"/>
      <c r="F85" s="196"/>
    </row>
    <row r="86" spans="1:6" ht="23.25">
      <c r="A86" s="193" t="s">
        <v>97</v>
      </c>
      <c r="B86" s="194" t="e">
        <f>+B87+B88</f>
        <v>#REF!</v>
      </c>
      <c r="C86" s="194" t="e">
        <f>+C87+C88</f>
        <v>#REF!</v>
      </c>
      <c r="D86" s="194" t="e">
        <f>+D87+D88</f>
        <v>#REF!</v>
      </c>
      <c r="E86" s="196">
        <v>-50000</v>
      </c>
      <c r="F86" s="210" t="e">
        <f>+B86-E88</f>
        <v>#REF!</v>
      </c>
    </row>
    <row r="87" spans="1:4" ht="23.25">
      <c r="A87" s="202" t="s">
        <v>76</v>
      </c>
      <c r="B87" s="145" t="e">
        <f>+'ชป.ชม.'!#REF!+'ชป.ชม.'!#REF!+'ชป.ชม.'!#REF!+'ชป.ชม.'!#REF!+'ชป.ชม.'!#REF!+'ชป.ชม.'!#REF!+'ชป.ชม.'!#REF!+'ชป.ชม.'!#REF!+'ชป.ชม.'!#REF!+'ชป.ชม.'!#REF!+'ชป.ชม.'!#REF!+'ชป.ชม.'!#REF!+'ชป.ชม.'!#REF!+'ชป.ชม.'!#REF!+'ชป.ชม.'!#REF!+'ชป.ชม.'!#REF!+'ชป.ชม.'!#REF!</f>
        <v>#REF!</v>
      </c>
      <c r="C87" s="145" t="e">
        <f>+'ชป.ชม.'!#REF!+'ชป.ชม.'!#REF!+'ชป.ชม.'!#REF!+'ชป.ชม.'!#REF!+'ชป.ชม.'!#REF!+'ชป.ชม.'!#REF!+'ชป.ชม.'!#REF!+'ชป.ชม.'!#REF!+'ชป.ชม.'!#REF!+'ชป.ชม.'!#REF!+'ชป.ชม.'!#REF!+'ชป.ชม.'!#REF!+'ชป.ชม.'!#REF!+'ชป.ชม.'!#REF!+'ชป.ชม.'!#REF!+'ชป.ชม.'!#REF!+'ชป.ชม.'!#REF!</f>
        <v>#REF!</v>
      </c>
      <c r="D87" s="138" t="e">
        <f>+B87-C87</f>
        <v>#REF!</v>
      </c>
    </row>
    <row r="88" spans="1:6" ht="23.25">
      <c r="A88" s="173" t="s">
        <v>96</v>
      </c>
      <c r="B88" s="138" t="e">
        <f>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C88" s="138" t="e">
        <f>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D88" s="138" t="e">
        <f>+B88-C88</f>
        <v>#REF!</v>
      </c>
      <c r="E88" s="221">
        <v>50000</v>
      </c>
      <c r="F88" s="196"/>
    </row>
    <row r="89" spans="1:4" ht="23.25">
      <c r="A89" s="193" t="s">
        <v>82</v>
      </c>
      <c r="B89" s="194" t="e">
        <f>+B90</f>
        <v>#REF!</v>
      </c>
      <c r="C89" s="194" t="e">
        <f>+C90</f>
        <v>#REF!</v>
      </c>
      <c r="D89" s="194" t="e">
        <f>+D90</f>
        <v>#REF!</v>
      </c>
    </row>
    <row r="90" spans="1:6" ht="23.25">
      <c r="A90" s="173" t="s">
        <v>96</v>
      </c>
      <c r="B90" s="138" t="e">
        <f>+#REF!</f>
        <v>#REF!</v>
      </c>
      <c r="C90" s="138" t="e">
        <f>+#REF!</f>
        <v>#REF!</v>
      </c>
      <c r="D90" s="138" t="e">
        <f>+B90-C90</f>
        <v>#REF!</v>
      </c>
      <c r="E90" s="196"/>
      <c r="F90" s="196"/>
    </row>
    <row r="91" spans="1:5" ht="23.25">
      <c r="A91" s="193" t="s">
        <v>100</v>
      </c>
      <c r="B91" s="194" t="e">
        <f>+B92</f>
        <v>#REF!</v>
      </c>
      <c r="C91" s="194" t="e">
        <f>+C92</f>
        <v>#REF!</v>
      </c>
      <c r="D91" s="194" t="e">
        <f>+D92</f>
        <v>#REF!</v>
      </c>
      <c r="E91" s="196" t="e">
        <f>22209000-B91</f>
        <v>#REF!</v>
      </c>
    </row>
    <row r="92" spans="1:6" ht="23.25">
      <c r="A92" s="173" t="s">
        <v>76</v>
      </c>
      <c r="B92" s="138" t="e">
        <f>+'ชป.ชม.'!#REF!</f>
        <v>#REF!</v>
      </c>
      <c r="C92" s="138" t="e">
        <f>+'ชป.ชม.'!#REF!</f>
        <v>#REF!</v>
      </c>
      <c r="D92" s="138" t="e">
        <f>+B92-C92</f>
        <v>#REF!</v>
      </c>
      <c r="E92" s="196"/>
      <c r="F92" s="196"/>
    </row>
    <row r="93" spans="1:5" ht="23.25">
      <c r="A93" s="193" t="s">
        <v>115</v>
      </c>
      <c r="B93" s="194" t="e">
        <f>+B94</f>
        <v>#REF!</v>
      </c>
      <c r="C93" s="194" t="e">
        <f>+C94</f>
        <v>#REF!</v>
      </c>
      <c r="D93" s="194" t="e">
        <f>+D94</f>
        <v>#REF!</v>
      </c>
      <c r="E93" s="196"/>
    </row>
    <row r="94" spans="1:6" ht="23.25">
      <c r="A94" s="173" t="s">
        <v>76</v>
      </c>
      <c r="B94" s="138" t="e">
        <f>+'ชป.ชม.'!#REF!</f>
        <v>#REF!</v>
      </c>
      <c r="C94" s="138" t="e">
        <f>+'ชป.ชม.'!#REF!</f>
        <v>#REF!</v>
      </c>
      <c r="D94" s="138" t="e">
        <f>+B94-C94</f>
        <v>#REF!</v>
      </c>
      <c r="E94" s="196"/>
      <c r="F94" s="196"/>
    </row>
    <row r="95" spans="1:4" ht="23.25">
      <c r="A95" s="193" t="s">
        <v>91</v>
      </c>
      <c r="B95" s="194" t="e">
        <f>+B96</f>
        <v>#REF!</v>
      </c>
      <c r="C95" s="194" t="e">
        <f>+C96</f>
        <v>#REF!</v>
      </c>
      <c r="D95" s="194" t="e">
        <f>+D96</f>
        <v>#REF!</v>
      </c>
    </row>
    <row r="96" spans="1:6" ht="23.25">
      <c r="A96" s="173" t="s">
        <v>76</v>
      </c>
      <c r="B96" s="138" t="e">
        <f>+'ชป.ชม.'!#REF!</f>
        <v>#REF!</v>
      </c>
      <c r="C96" s="138" t="e">
        <f>+'ชป.ชม.'!#REF!</f>
        <v>#REF!</v>
      </c>
      <c r="D96" s="138" t="e">
        <f>+B96-C96</f>
        <v>#REF!</v>
      </c>
      <c r="E96" s="196"/>
      <c r="F96" s="196"/>
    </row>
    <row r="97" spans="1:4" ht="23.25">
      <c r="A97" s="193" t="s">
        <v>98</v>
      </c>
      <c r="B97" s="194" t="e">
        <f>+B98+B99</f>
        <v>#REF!</v>
      </c>
      <c r="C97" s="194" t="e">
        <f>+C98+C99</f>
        <v>#REF!</v>
      </c>
      <c r="D97" s="194" t="e">
        <f>+D98+D99</f>
        <v>#REF!</v>
      </c>
    </row>
    <row r="98" spans="1:6" ht="23.25">
      <c r="A98" s="173" t="s">
        <v>78</v>
      </c>
      <c r="B98" s="138" t="e">
        <f>+#REF!+#REF!+#REF!</f>
        <v>#REF!</v>
      </c>
      <c r="C98" s="138" t="e">
        <f>+#REF!+#REF!+#REF!</f>
        <v>#REF!</v>
      </c>
      <c r="D98" s="138" t="e">
        <f>+B98-C98</f>
        <v>#REF!</v>
      </c>
      <c r="E98" s="196"/>
      <c r="F98" s="196"/>
    </row>
    <row r="99" spans="1:6" ht="23.25">
      <c r="A99" s="173" t="s">
        <v>76</v>
      </c>
      <c r="B99" s="138" t="e">
        <f>+'ชป.ชม.'!#REF!</f>
        <v>#REF!</v>
      </c>
      <c r="C99" s="138" t="e">
        <f>+'ชป.ชม.'!#REF!</f>
        <v>#REF!</v>
      </c>
      <c r="D99" s="138" t="e">
        <f>+B99-C99</f>
        <v>#REF!</v>
      </c>
      <c r="E99" s="196"/>
      <c r="F99" s="196"/>
    </row>
    <row r="100" spans="1:4" ht="23.25">
      <c r="A100" s="193" t="s">
        <v>42</v>
      </c>
      <c r="B100" s="194" t="e">
        <f>+B101</f>
        <v>#REF!</v>
      </c>
      <c r="C100" s="194" t="e">
        <f>+C101</f>
        <v>#REF!</v>
      </c>
      <c r="D100" s="194" t="e">
        <f>+D101</f>
        <v>#REF!</v>
      </c>
    </row>
    <row r="101" spans="1:6" ht="23.25">
      <c r="A101" s="173" t="s">
        <v>79</v>
      </c>
      <c r="B101" s="138" t="e">
        <f>+#REF!</f>
        <v>#REF!</v>
      </c>
      <c r="C101" s="138" t="e">
        <f>+#REF!</f>
        <v>#REF!</v>
      </c>
      <c r="D101" s="138" t="e">
        <f>+B101-C101</f>
        <v>#REF!</v>
      </c>
      <c r="E101" s="196"/>
      <c r="F101" s="196"/>
    </row>
    <row r="102" spans="1:4" ht="23.25">
      <c r="A102" s="193" t="s">
        <v>1</v>
      </c>
      <c r="B102" s="194" t="e">
        <f>+B103</f>
        <v>#REF!</v>
      </c>
      <c r="C102" s="194" t="e">
        <f>+C103</f>
        <v>#REF!</v>
      </c>
      <c r="D102" s="194" t="e">
        <f>+D103</f>
        <v>#REF!</v>
      </c>
    </row>
    <row r="103" spans="1:6" ht="23.25">
      <c r="A103" s="173" t="s">
        <v>78</v>
      </c>
      <c r="B103" s="138" t="e">
        <f>+#REF!</f>
        <v>#REF!</v>
      </c>
      <c r="C103" s="138" t="e">
        <f>+#REF!</f>
        <v>#REF!</v>
      </c>
      <c r="D103" s="138" t="e">
        <f>+B103-C103</f>
        <v>#REF!</v>
      </c>
      <c r="E103" s="196"/>
      <c r="F103" s="196"/>
    </row>
    <row r="104" spans="1:4" ht="23.25">
      <c r="A104" s="193" t="s">
        <v>2</v>
      </c>
      <c r="B104" s="194" t="e">
        <f>+B105</f>
        <v>#REF!</v>
      </c>
      <c r="C104" s="194" t="e">
        <f>+C105</f>
        <v>#REF!</v>
      </c>
      <c r="D104" s="194" t="e">
        <f>+D105</f>
        <v>#REF!</v>
      </c>
    </row>
    <row r="105" spans="1:6" ht="23.25">
      <c r="A105" s="173" t="s">
        <v>78</v>
      </c>
      <c r="B105" s="138" t="e">
        <f>+#REF!</f>
        <v>#REF!</v>
      </c>
      <c r="C105" s="138" t="e">
        <f>+#REF!</f>
        <v>#REF!</v>
      </c>
      <c r="D105" s="138" t="e">
        <f>+B105-C105</f>
        <v>#REF!</v>
      </c>
      <c r="E105" s="196"/>
      <c r="F105" s="196"/>
    </row>
    <row r="106" spans="1:5" ht="23.25">
      <c r="A106" s="193" t="s">
        <v>119</v>
      </c>
      <c r="B106" s="194" t="e">
        <f>+B107</f>
        <v>#REF!</v>
      </c>
      <c r="C106" s="194" t="e">
        <f>+C107</f>
        <v>#REF!</v>
      </c>
      <c r="D106" s="194" t="e">
        <f>+D107</f>
        <v>#REF!</v>
      </c>
      <c r="E106" s="210" t="e">
        <f>7637900-B106</f>
        <v>#REF!</v>
      </c>
    </row>
    <row r="107" spans="1:6" ht="23.25">
      <c r="A107" s="173" t="s">
        <v>76</v>
      </c>
      <c r="B107" s="138" t="e">
        <f>+'ชป.ชม.'!#REF!</f>
        <v>#REF!</v>
      </c>
      <c r="C107" s="138" t="e">
        <f>+'ชป.ชม.'!#REF!</f>
        <v>#REF!</v>
      </c>
      <c r="D107" s="138" t="e">
        <f>+B107-C107</f>
        <v>#REF!</v>
      </c>
      <c r="E107" s="196"/>
      <c r="F107" s="196"/>
    </row>
    <row r="108" spans="1:4" ht="23.25">
      <c r="A108" s="193" t="s">
        <v>83</v>
      </c>
      <c r="B108" s="194" t="e">
        <f>+B109</f>
        <v>#REF!</v>
      </c>
      <c r="C108" s="194" t="e">
        <f>+C109</f>
        <v>#REF!</v>
      </c>
      <c r="D108" s="194" t="e">
        <f>+D109</f>
        <v>#REF!</v>
      </c>
    </row>
    <row r="109" spans="1:6" ht="23.25">
      <c r="A109" s="173" t="s">
        <v>78</v>
      </c>
      <c r="B109" s="138" t="e">
        <f>+#REF!</f>
        <v>#REF!</v>
      </c>
      <c r="C109" s="138" t="e">
        <f>+#REF!</f>
        <v>#REF!</v>
      </c>
      <c r="D109" s="138" t="e">
        <f>+B109-C109</f>
        <v>#REF!</v>
      </c>
      <c r="E109" s="196"/>
      <c r="F109" s="196"/>
    </row>
    <row r="110" spans="1:6" ht="26.25">
      <c r="A110" s="302" t="s">
        <v>14</v>
      </c>
      <c r="B110" s="302"/>
      <c r="C110" s="302"/>
      <c r="D110" s="302"/>
      <c r="E110" s="196"/>
      <c r="F110" s="196"/>
    </row>
    <row r="111" spans="1:4" ht="23.25">
      <c r="A111" s="203" t="s">
        <v>99</v>
      </c>
      <c r="B111" s="204" t="e">
        <f>+B112</f>
        <v>#REF!</v>
      </c>
      <c r="C111" s="204" t="e">
        <f>+C112</f>
        <v>#REF!</v>
      </c>
      <c r="D111" s="204" t="e">
        <f>+D112</f>
        <v>#REF!</v>
      </c>
    </row>
    <row r="112" spans="1:6" ht="23.25">
      <c r="A112" s="173" t="s">
        <v>96</v>
      </c>
      <c r="B112" s="138" t="e">
        <f>+#REF!</f>
        <v>#REF!</v>
      </c>
      <c r="C112" s="138" t="e">
        <f>+#REF!</f>
        <v>#REF!</v>
      </c>
      <c r="D112" s="138" t="e">
        <f>+B112-C112</f>
        <v>#REF!</v>
      </c>
      <c r="E112" s="196"/>
      <c r="F112" s="196"/>
    </row>
    <row r="113" spans="1:4" ht="23.25">
      <c r="A113" s="203" t="s">
        <v>99</v>
      </c>
      <c r="B113" s="204" t="e">
        <f>+B114</f>
        <v>#REF!</v>
      </c>
      <c r="C113" s="204" t="e">
        <f>+C114</f>
        <v>#REF!</v>
      </c>
      <c r="D113" s="204" t="e">
        <f>+D114</f>
        <v>#REF!</v>
      </c>
    </row>
    <row r="114" spans="1:6" ht="23.25">
      <c r="A114" s="173" t="s">
        <v>96</v>
      </c>
      <c r="B114" s="138" t="e">
        <f>+#REF!</f>
        <v>#REF!</v>
      </c>
      <c r="C114" s="138" t="e">
        <f>+#REF!</f>
        <v>#REF!</v>
      </c>
      <c r="D114" s="138" t="e">
        <f>+B114-C114</f>
        <v>#REF!</v>
      </c>
      <c r="E114" s="196"/>
      <c r="F114" s="196"/>
    </row>
    <row r="115" spans="1:5" ht="23.25">
      <c r="A115" s="203" t="s">
        <v>85</v>
      </c>
      <c r="B115" s="204" t="e">
        <f>+B116</f>
        <v>#REF!</v>
      </c>
      <c r="C115" s="204" t="e">
        <f>+C116</f>
        <v>#REF!</v>
      </c>
      <c r="D115" s="204" t="e">
        <f>+D116</f>
        <v>#REF!</v>
      </c>
      <c r="E115" s="196"/>
    </row>
    <row r="116" spans="1:6" ht="23.25">
      <c r="A116" s="173" t="s">
        <v>96</v>
      </c>
      <c r="B116" s="138" t="e">
        <f>+#REF!</f>
        <v>#REF!</v>
      </c>
      <c r="C116" s="138" t="e">
        <f>+#REF!</f>
        <v>#REF!</v>
      </c>
      <c r="D116" s="138" t="e">
        <f>+B116-C116</f>
        <v>#REF!</v>
      </c>
      <c r="E116" s="196"/>
      <c r="F116" s="196"/>
    </row>
    <row r="117" spans="1:5" ht="23.25">
      <c r="A117" s="203" t="s">
        <v>112</v>
      </c>
      <c r="B117" s="204" t="e">
        <f>+B118</f>
        <v>#REF!</v>
      </c>
      <c r="C117" s="204" t="e">
        <f>+C118</f>
        <v>#REF!</v>
      </c>
      <c r="D117" s="204" t="e">
        <f>+D118</f>
        <v>#REF!</v>
      </c>
      <c r="E117" s="196"/>
    </row>
    <row r="118" spans="1:6" ht="23.25">
      <c r="A118" s="173" t="s">
        <v>96</v>
      </c>
      <c r="B118" s="138" t="e">
        <f>+#REF!</f>
        <v>#REF!</v>
      </c>
      <c r="C118" s="138" t="e">
        <f>+#REF!</f>
        <v>#REF!</v>
      </c>
      <c r="D118" s="138" t="e">
        <f>+B118-C118</f>
        <v>#REF!</v>
      </c>
      <c r="E118" s="196"/>
      <c r="F118" s="196"/>
    </row>
    <row r="119" spans="1:5" ht="23.25">
      <c r="A119" s="203" t="s">
        <v>111</v>
      </c>
      <c r="B119" s="204" t="e">
        <f>+B120</f>
        <v>#REF!</v>
      </c>
      <c r="C119" s="204" t="e">
        <f>+C120</f>
        <v>#REF!</v>
      </c>
      <c r="D119" s="204" t="e">
        <f>+D120</f>
        <v>#REF!</v>
      </c>
      <c r="E119" s="196"/>
    </row>
    <row r="120" spans="1:6" ht="23.25">
      <c r="A120" s="173" t="s">
        <v>96</v>
      </c>
      <c r="B120" s="138" t="e">
        <f>+#REF!</f>
        <v>#REF!</v>
      </c>
      <c r="C120" s="138" t="e">
        <f>+#REF!</f>
        <v>#REF!</v>
      </c>
      <c r="D120" s="138" t="e">
        <f>+B120-C120</f>
        <v>#REF!</v>
      </c>
      <c r="E120" s="196"/>
      <c r="F120" s="196"/>
    </row>
    <row r="121" spans="1:5" ht="23.25">
      <c r="A121" s="203" t="s">
        <v>116</v>
      </c>
      <c r="B121" s="204" t="e">
        <f>+B122</f>
        <v>#REF!</v>
      </c>
      <c r="C121" s="204" t="e">
        <f>+C122</f>
        <v>#REF!</v>
      </c>
      <c r="D121" s="204" t="e">
        <f>+D122</f>
        <v>#REF!</v>
      </c>
      <c r="E121" s="196"/>
    </row>
    <row r="122" spans="1:6" ht="23.25">
      <c r="A122" s="173" t="s">
        <v>96</v>
      </c>
      <c r="B122" s="138" t="e">
        <f>+#REF!</f>
        <v>#REF!</v>
      </c>
      <c r="C122" s="138" t="e">
        <f>+#REF!</f>
        <v>#REF!</v>
      </c>
      <c r="D122" s="138" t="e">
        <f>+B122-C122</f>
        <v>#REF!</v>
      </c>
      <c r="E122" s="196"/>
      <c r="F122" s="196"/>
    </row>
    <row r="123" spans="1:5" ht="23.25">
      <c r="A123" s="203" t="s">
        <v>117</v>
      </c>
      <c r="B123" s="204" t="e">
        <f>+B124</f>
        <v>#REF!</v>
      </c>
      <c r="C123" s="204" t="e">
        <f>+C124</f>
        <v>#REF!</v>
      </c>
      <c r="D123" s="204" t="e">
        <f>+D124</f>
        <v>#REF!</v>
      </c>
      <c r="E123" s="196"/>
    </row>
    <row r="124" spans="1:6" ht="23.25">
      <c r="A124" s="173" t="s">
        <v>96</v>
      </c>
      <c r="B124" s="138" t="e">
        <f>+#REF!</f>
        <v>#REF!</v>
      </c>
      <c r="C124" s="138" t="e">
        <f>+#REF!</f>
        <v>#REF!</v>
      </c>
      <c r="D124" s="138" t="e">
        <f>+B124-C124</f>
        <v>#REF!</v>
      </c>
      <c r="E124" s="196"/>
      <c r="F124" s="196"/>
    </row>
    <row r="125" spans="1:5" ht="23.25">
      <c r="A125" s="203" t="s">
        <v>120</v>
      </c>
      <c r="B125" s="204" t="e">
        <f>+B126</f>
        <v>#REF!</v>
      </c>
      <c r="C125" s="204" t="e">
        <f>+C126</f>
        <v>#REF!</v>
      </c>
      <c r="D125" s="204" t="e">
        <f>+D126</f>
        <v>#REF!</v>
      </c>
      <c r="E125" s="196"/>
    </row>
    <row r="126" spans="1:6" ht="23.25">
      <c r="A126" s="173" t="s">
        <v>76</v>
      </c>
      <c r="B126" s="138" t="e">
        <f>+'ชป.ชม.'!#REF!</f>
        <v>#REF!</v>
      </c>
      <c r="C126" s="138" t="e">
        <f>+'ชป.ชม.'!#REF!</f>
        <v>#REF!</v>
      </c>
      <c r="D126" s="138" t="e">
        <f>+B126-C126</f>
        <v>#REF!</v>
      </c>
      <c r="E126" s="196"/>
      <c r="F126" s="196"/>
    </row>
    <row r="127" spans="1:4" ht="23.25">
      <c r="A127" s="203" t="s">
        <v>101</v>
      </c>
      <c r="B127" s="204" t="e">
        <f>+B128</f>
        <v>#REF!</v>
      </c>
      <c r="C127" s="204" t="e">
        <f>+C128</f>
        <v>#REF!</v>
      </c>
      <c r="D127" s="204" t="e">
        <f>+D128</f>
        <v>#REF!</v>
      </c>
    </row>
    <row r="128" spans="1:6" ht="23.25">
      <c r="A128" s="173" t="s">
        <v>96</v>
      </c>
      <c r="B128" s="138" t="e">
        <f>+#REF!</f>
        <v>#REF!</v>
      </c>
      <c r="C128" s="138" t="e">
        <f>+#REF!</f>
        <v>#REF!</v>
      </c>
      <c r="D128" s="138" t="e">
        <f>+B128-C128</f>
        <v>#REF!</v>
      </c>
      <c r="E128" s="196"/>
      <c r="F128" s="196"/>
    </row>
    <row r="129" spans="1:4" ht="23.25">
      <c r="A129" s="203" t="s">
        <v>104</v>
      </c>
      <c r="B129" s="204" t="e">
        <f>+B130</f>
        <v>#REF!</v>
      </c>
      <c r="C129" s="204" t="e">
        <f>+C130</f>
        <v>#REF!</v>
      </c>
      <c r="D129" s="204" t="e">
        <f>+D130</f>
        <v>#REF!</v>
      </c>
    </row>
    <row r="130" spans="1:6" ht="23.25">
      <c r="A130" s="173" t="s">
        <v>96</v>
      </c>
      <c r="B130" s="138" t="e">
        <f>+#REF!</f>
        <v>#REF!</v>
      </c>
      <c r="C130" s="138" t="e">
        <f>+#REF!</f>
        <v>#REF!</v>
      </c>
      <c r="D130" s="138" t="e">
        <f>+B130-C130</f>
        <v>#REF!</v>
      </c>
      <c r="E130" s="196"/>
      <c r="F130" s="196"/>
    </row>
    <row r="131" spans="1:4" ht="23.25">
      <c r="A131" s="203" t="s">
        <v>105</v>
      </c>
      <c r="B131" s="204" t="e">
        <f>+B132</f>
        <v>#REF!</v>
      </c>
      <c r="C131" s="204" t="e">
        <f>+C132</f>
        <v>#REF!</v>
      </c>
      <c r="D131" s="204" t="e">
        <f>+D132</f>
        <v>#REF!</v>
      </c>
    </row>
    <row r="132" spans="1:6" ht="23.25">
      <c r="A132" s="173" t="s">
        <v>96</v>
      </c>
      <c r="B132" s="138" t="e">
        <f>+#REF!</f>
        <v>#REF!</v>
      </c>
      <c r="C132" s="138" t="e">
        <f>+#REF!</f>
        <v>#REF!</v>
      </c>
      <c r="D132" s="138" t="e">
        <f>+B132-C132</f>
        <v>#REF!</v>
      </c>
      <c r="E132" s="196"/>
      <c r="F132" s="196"/>
    </row>
    <row r="133" spans="1:4" ht="23.25">
      <c r="A133" s="203" t="s">
        <v>106</v>
      </c>
      <c r="B133" s="204" t="e">
        <f>+B134</f>
        <v>#REF!</v>
      </c>
      <c r="C133" s="204" t="e">
        <f>+C134</f>
        <v>#REF!</v>
      </c>
      <c r="D133" s="204" t="e">
        <f>+D134</f>
        <v>#REF!</v>
      </c>
    </row>
    <row r="134" spans="1:6" ht="23.25">
      <c r="A134" s="173" t="s">
        <v>96</v>
      </c>
      <c r="B134" s="138" t="e">
        <f>+#REF!</f>
        <v>#REF!</v>
      </c>
      <c r="C134" s="138" t="e">
        <f>+#REF!</f>
        <v>#REF!</v>
      </c>
      <c r="D134" s="138" t="e">
        <f>+B134-C134</f>
        <v>#REF!</v>
      </c>
      <c r="E134" s="196"/>
      <c r="F134" s="196"/>
    </row>
    <row r="135" spans="1:4" ht="23.25">
      <c r="A135" s="203" t="s">
        <v>107</v>
      </c>
      <c r="B135" s="204" t="e">
        <f>+B136</f>
        <v>#REF!</v>
      </c>
      <c r="C135" s="204" t="e">
        <f>+C136</f>
        <v>#REF!</v>
      </c>
      <c r="D135" s="204" t="e">
        <f>+D136</f>
        <v>#REF!</v>
      </c>
    </row>
    <row r="136" spans="1:6" ht="23.25">
      <c r="A136" s="173" t="s">
        <v>96</v>
      </c>
      <c r="B136" s="138" t="e">
        <f>+#REF!</f>
        <v>#REF!</v>
      </c>
      <c r="C136" s="138" t="e">
        <f>+#REF!</f>
        <v>#REF!</v>
      </c>
      <c r="D136" s="138" t="e">
        <f>+B136-C136</f>
        <v>#REF!</v>
      </c>
      <c r="E136" s="196"/>
      <c r="F136" s="196"/>
    </row>
    <row r="137" spans="1:4" ht="23.25">
      <c r="A137" s="203" t="s">
        <v>108</v>
      </c>
      <c r="B137" s="204" t="e">
        <f>+B138</f>
        <v>#REF!</v>
      </c>
      <c r="C137" s="204" t="e">
        <f>+C138</f>
        <v>#REF!</v>
      </c>
      <c r="D137" s="204" t="e">
        <f>+D138</f>
        <v>#REF!</v>
      </c>
    </row>
    <row r="138" spans="1:6" ht="23.25">
      <c r="A138" s="173" t="s">
        <v>96</v>
      </c>
      <c r="B138" s="138" t="e">
        <f>+#REF!</f>
        <v>#REF!</v>
      </c>
      <c r="C138" s="138" t="e">
        <f>+#REF!</f>
        <v>#REF!</v>
      </c>
      <c r="D138" s="138" t="e">
        <f>+B138-C138</f>
        <v>#REF!</v>
      </c>
      <c r="E138" s="196"/>
      <c r="F138" s="196"/>
    </row>
    <row r="139" spans="1:5" ht="23.25">
      <c r="A139" s="203" t="s">
        <v>121</v>
      </c>
      <c r="B139" s="204" t="e">
        <f>+B140</f>
        <v>#REF!</v>
      </c>
      <c r="C139" s="204" t="e">
        <f>+C140</f>
        <v>#REF!</v>
      </c>
      <c r="D139" s="204" t="e">
        <f>+D140</f>
        <v>#REF!</v>
      </c>
      <c r="E139" s="195"/>
    </row>
    <row r="140" spans="1:6" ht="23.25">
      <c r="A140" s="173" t="s">
        <v>96</v>
      </c>
      <c r="B140" s="138" t="e">
        <f>+#REF!</f>
        <v>#REF!</v>
      </c>
      <c r="C140" s="138" t="e">
        <f>+#REF!</f>
        <v>#REF!</v>
      </c>
      <c r="D140" s="138" t="e">
        <f>+B140-C140</f>
        <v>#REF!</v>
      </c>
      <c r="E140" s="195"/>
      <c r="F140" s="196"/>
    </row>
    <row r="141" spans="1:5" ht="23.25">
      <c r="A141" s="203" t="s">
        <v>122</v>
      </c>
      <c r="B141" s="204" t="e">
        <f>+B142</f>
        <v>#REF!</v>
      </c>
      <c r="C141" s="204" t="e">
        <f>+C142</f>
        <v>#REF!</v>
      </c>
      <c r="D141" s="204" t="e">
        <f>+D142</f>
        <v>#REF!</v>
      </c>
      <c r="E141" s="195"/>
    </row>
    <row r="142" spans="1:6" ht="23.25">
      <c r="A142" s="173" t="s">
        <v>96</v>
      </c>
      <c r="B142" s="138" t="e">
        <f>+#REF!</f>
        <v>#REF!</v>
      </c>
      <c r="C142" s="138" t="e">
        <f>+#REF!</f>
        <v>#REF!</v>
      </c>
      <c r="D142" s="138" t="e">
        <f>+B142-C142</f>
        <v>#REF!</v>
      </c>
      <c r="E142" s="195"/>
      <c r="F142" s="196"/>
    </row>
    <row r="143" spans="1:5" ht="23.25">
      <c r="A143" s="203" t="s">
        <v>123</v>
      </c>
      <c r="B143" s="204" t="e">
        <f>+B144</f>
        <v>#REF!</v>
      </c>
      <c r="C143" s="204" t="e">
        <f>+C144</f>
        <v>#REF!</v>
      </c>
      <c r="D143" s="204" t="e">
        <f>+D144</f>
        <v>#REF!</v>
      </c>
      <c r="E143" s="195"/>
    </row>
    <row r="144" spans="1:6" ht="23.25">
      <c r="A144" s="173" t="s">
        <v>96</v>
      </c>
      <c r="B144" s="138" t="e">
        <f>+#REF!</f>
        <v>#REF!</v>
      </c>
      <c r="C144" s="138" t="e">
        <f>+#REF!</f>
        <v>#REF!</v>
      </c>
      <c r="D144" s="138" t="e">
        <f>+B144-C144</f>
        <v>#REF!</v>
      </c>
      <c r="E144" s="195"/>
      <c r="F144" s="196"/>
    </row>
    <row r="145" spans="1:4" ht="23.25">
      <c r="A145" s="203" t="s">
        <v>113</v>
      </c>
      <c r="B145" s="204" t="e">
        <f>+B146</f>
        <v>#REF!</v>
      </c>
      <c r="C145" s="204" t="e">
        <f>+C146</f>
        <v>#REF!</v>
      </c>
      <c r="D145" s="204" t="e">
        <f>+D146</f>
        <v>#REF!</v>
      </c>
    </row>
    <row r="146" spans="1:6" ht="23.25">
      <c r="A146" s="173" t="s">
        <v>96</v>
      </c>
      <c r="B146" s="138" t="e">
        <f>+#REF!</f>
        <v>#REF!</v>
      </c>
      <c r="C146" s="138" t="e">
        <f>+#REF!</f>
        <v>#REF!</v>
      </c>
      <c r="D146" s="138" t="e">
        <f>+B146-C146</f>
        <v>#REF!</v>
      </c>
      <c r="E146" s="196"/>
      <c r="F146" s="196"/>
    </row>
    <row r="147" spans="1:5" ht="23.25">
      <c r="A147" s="203" t="s">
        <v>124</v>
      </c>
      <c r="B147" s="204" t="e">
        <f>+B148</f>
        <v>#REF!</v>
      </c>
      <c r="C147" s="204" t="e">
        <f>+C148</f>
        <v>#REF!</v>
      </c>
      <c r="D147" s="204" t="e">
        <f>+D148</f>
        <v>#REF!</v>
      </c>
      <c r="E147" s="195"/>
    </row>
    <row r="148" spans="1:6" ht="23.25">
      <c r="A148" s="173" t="s">
        <v>96</v>
      </c>
      <c r="B148" s="138" t="e">
        <f>+#REF!</f>
        <v>#REF!</v>
      </c>
      <c r="C148" s="138" t="e">
        <f>+#REF!</f>
        <v>#REF!</v>
      </c>
      <c r="D148" s="138" t="e">
        <f>+B148-C148</f>
        <v>#REF!</v>
      </c>
      <c r="E148" s="196"/>
      <c r="F148" s="196"/>
    </row>
    <row r="151" spans="2:4" ht="23.25">
      <c r="B151" s="195" t="s">
        <v>76</v>
      </c>
      <c r="C151" s="195" t="s">
        <v>96</v>
      </c>
      <c r="D151" s="195" t="s">
        <v>145</v>
      </c>
    </row>
    <row r="152" spans="2:5" ht="23.25">
      <c r="B152" s="138">
        <v>3580058.21</v>
      </c>
      <c r="C152" s="138">
        <v>11127400</v>
      </c>
      <c r="D152" s="138">
        <v>2471482.7</v>
      </c>
      <c r="E152" s="195">
        <v>824700.49</v>
      </c>
    </row>
    <row r="153" spans="2:5" ht="23.25">
      <c r="B153" s="138">
        <v>55800</v>
      </c>
      <c r="C153" s="138">
        <v>1286000</v>
      </c>
      <c r="D153" s="138">
        <v>353853</v>
      </c>
      <c r="E153" s="138">
        <v>187441.84</v>
      </c>
    </row>
    <row r="154" spans="2:5" ht="23.25">
      <c r="B154" s="138">
        <v>8654000</v>
      </c>
      <c r="C154" s="138">
        <v>3866100</v>
      </c>
      <c r="D154" s="138">
        <v>1179003.28</v>
      </c>
      <c r="E154" s="196">
        <f>SUM(E152:E153)</f>
        <v>1012142.33</v>
      </c>
    </row>
    <row r="155" spans="2:4" ht="23.25">
      <c r="B155" s="138">
        <v>1790224.8</v>
      </c>
      <c r="C155" s="138">
        <v>305557</v>
      </c>
      <c r="D155" s="138">
        <v>2127507</v>
      </c>
    </row>
    <row r="156" spans="2:4" ht="23.25">
      <c r="B156" s="138">
        <v>1792054.79</v>
      </c>
      <c r="C156" s="138">
        <v>1999000</v>
      </c>
      <c r="D156" s="138">
        <v>571626.28</v>
      </c>
    </row>
    <row r="157" spans="3:4" ht="23.25">
      <c r="C157" s="138">
        <v>90000</v>
      </c>
      <c r="D157" s="138">
        <v>27000000</v>
      </c>
    </row>
    <row r="158" spans="3:4" ht="23.25">
      <c r="C158" s="138">
        <v>77100</v>
      </c>
      <c r="D158" s="138">
        <v>19800000</v>
      </c>
    </row>
    <row r="159" spans="3:4" ht="23.25">
      <c r="C159" s="138">
        <v>59300</v>
      </c>
      <c r="D159" s="138">
        <v>984926.54</v>
      </c>
    </row>
    <row r="160" spans="3:4" ht="23.25">
      <c r="C160" s="138">
        <v>53400</v>
      </c>
      <c r="D160" s="138">
        <v>1285000.45</v>
      </c>
    </row>
    <row r="161" spans="3:4" ht="23.25">
      <c r="C161" s="138">
        <v>29200</v>
      </c>
      <c r="D161" s="138">
        <v>70916900</v>
      </c>
    </row>
    <row r="162" spans="3:6" ht="23.25">
      <c r="C162" s="138">
        <v>74900</v>
      </c>
      <c r="E162" s="173">
        <f>89900-15000</f>
        <v>74900</v>
      </c>
      <c r="F162" s="173">
        <f>89900-77100</f>
        <v>12800</v>
      </c>
    </row>
    <row r="163" spans="3:5" ht="23.25">
      <c r="C163" s="138">
        <v>57600</v>
      </c>
      <c r="E163" s="173">
        <f>69100-11500</f>
        <v>57600</v>
      </c>
    </row>
    <row r="164" ht="23.25">
      <c r="C164" s="138">
        <v>48000</v>
      </c>
    </row>
    <row r="165" ht="23.25">
      <c r="C165" s="138">
        <v>35200</v>
      </c>
    </row>
    <row r="166" ht="23.25">
      <c r="C166" s="138">
        <v>45000</v>
      </c>
    </row>
    <row r="167" ht="23.25">
      <c r="C167" s="138">
        <v>30000</v>
      </c>
    </row>
    <row r="168" ht="23.25">
      <c r="C168" s="138">
        <v>48000</v>
      </c>
    </row>
    <row r="169" ht="23.25">
      <c r="C169" s="138">
        <v>885500</v>
      </c>
    </row>
    <row r="170" ht="23.25">
      <c r="C170" s="138">
        <v>290145</v>
      </c>
    </row>
    <row r="171" ht="23.25">
      <c r="C171" s="138">
        <v>200780</v>
      </c>
    </row>
    <row r="176" spans="2:5" ht="23.25">
      <c r="B176" s="138">
        <f>SUM(B152:B175)</f>
        <v>15872137.8</v>
      </c>
      <c r="C176" s="138">
        <f>SUM(C152:C175)</f>
        <v>20608182</v>
      </c>
      <c r="D176" s="138">
        <f>SUM(D152:D175)</f>
        <v>126690299.25</v>
      </c>
      <c r="E176" s="196">
        <f>SUM(B176:D176)</f>
        <v>163170619.05</v>
      </c>
    </row>
    <row r="177" spans="2:4" ht="23.25">
      <c r="B177" s="138" t="e">
        <f>+B178-B176</f>
        <v>#REF!</v>
      </c>
      <c r="C177" s="138" t="e">
        <f>+C178-C176</f>
        <v>#REF!</v>
      </c>
      <c r="D177" s="138" t="e">
        <f>+D178-D176</f>
        <v>#REF!</v>
      </c>
    </row>
    <row r="178" spans="2:4" ht="23.25">
      <c r="B178" s="138" t="e">
        <f>+#REF!</f>
        <v>#REF!</v>
      </c>
      <c r="C178" s="138" t="e">
        <f>+#REF!</f>
        <v>#REF!</v>
      </c>
      <c r="D178" s="138" t="e">
        <f>+#REF!</f>
        <v>#REF!</v>
      </c>
    </row>
  </sheetData>
  <sheetProtection/>
  <mergeCells count="1">
    <mergeCell ref="A110:D110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23.140625" style="109" customWidth="1"/>
    <col min="2" max="2" width="19.8515625" style="138" customWidth="1"/>
    <col min="3" max="3" width="26.421875" style="138" customWidth="1"/>
    <col min="4" max="4" width="11.28125" style="138" customWidth="1"/>
    <col min="5" max="5" width="11.7109375" style="138" customWidth="1"/>
    <col min="6" max="6" width="14.57421875" style="139" customWidth="1"/>
    <col min="7" max="7" width="11.421875" style="138" customWidth="1"/>
    <col min="8" max="8" width="11.00390625" style="109" customWidth="1"/>
    <col min="9" max="9" width="9.140625" style="109" customWidth="1"/>
    <col min="10" max="10" width="22.140625" style="109" customWidth="1"/>
    <col min="11" max="16384" width="9.140625" style="109" customWidth="1"/>
  </cols>
  <sheetData>
    <row r="1" spans="1:10" ht="23.25">
      <c r="A1" s="301" t="s">
        <v>44</v>
      </c>
      <c r="B1" s="301"/>
      <c r="C1" s="301"/>
      <c r="D1" s="301"/>
      <c r="E1" s="301"/>
      <c r="F1" s="301"/>
      <c r="G1" s="301"/>
      <c r="H1" s="301"/>
      <c r="I1" s="301"/>
      <c r="J1" s="301"/>
    </row>
    <row r="2" spans="1:10" ht="23.25">
      <c r="A2" s="301" t="s">
        <v>45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23.25">
      <c r="A3" s="301" t="s">
        <v>46</v>
      </c>
      <c r="B3" s="301"/>
      <c r="C3" s="301"/>
      <c r="D3" s="301"/>
      <c r="E3" s="301"/>
      <c r="F3" s="301"/>
      <c r="G3" s="301"/>
      <c r="H3" s="301"/>
      <c r="I3" s="301"/>
      <c r="J3" s="301"/>
    </row>
    <row r="4" spans="1:10" ht="23.25">
      <c r="A4" s="301" t="s">
        <v>47</v>
      </c>
      <c r="B4" s="301"/>
      <c r="C4" s="301"/>
      <c r="D4" s="301"/>
      <c r="E4" s="301"/>
      <c r="F4" s="301"/>
      <c r="G4" s="301"/>
      <c r="H4" s="301"/>
      <c r="I4" s="301"/>
      <c r="J4" s="301"/>
    </row>
    <row r="5" spans="1:2" ht="23.25">
      <c r="A5" s="174"/>
      <c r="B5" s="145"/>
    </row>
    <row r="6" spans="1:10" ht="30.75" customHeight="1">
      <c r="A6" s="303" t="s">
        <v>27</v>
      </c>
      <c r="B6" s="305" t="s">
        <v>48</v>
      </c>
      <c r="C6" s="186" t="s">
        <v>49</v>
      </c>
      <c r="D6" s="309" t="s">
        <v>51</v>
      </c>
      <c r="E6" s="309" t="s">
        <v>61</v>
      </c>
      <c r="F6" s="311" t="s">
        <v>52</v>
      </c>
      <c r="G6" s="312"/>
      <c r="H6" s="313"/>
      <c r="I6" s="307" t="s">
        <v>66</v>
      </c>
      <c r="J6" s="307" t="s">
        <v>56</v>
      </c>
    </row>
    <row r="7" spans="1:10" ht="93">
      <c r="A7" s="304"/>
      <c r="B7" s="306"/>
      <c r="C7" s="185" t="s">
        <v>50</v>
      </c>
      <c r="D7" s="310"/>
      <c r="E7" s="310"/>
      <c r="F7" s="182" t="s">
        <v>53</v>
      </c>
      <c r="G7" s="180" t="s">
        <v>54</v>
      </c>
      <c r="H7" s="179" t="s">
        <v>55</v>
      </c>
      <c r="I7" s="308"/>
      <c r="J7" s="308"/>
    </row>
    <row r="8" spans="1:10" ht="23.25">
      <c r="A8" s="167" t="s">
        <v>57</v>
      </c>
      <c r="B8" s="184" t="s">
        <v>58</v>
      </c>
      <c r="C8" s="184" t="s">
        <v>59</v>
      </c>
      <c r="D8" s="184" t="s">
        <v>60</v>
      </c>
      <c r="E8" s="181" t="s">
        <v>62</v>
      </c>
      <c r="F8" s="183" t="s">
        <v>63</v>
      </c>
      <c r="G8" s="181" t="s">
        <v>64</v>
      </c>
      <c r="H8" s="167" t="s">
        <v>65</v>
      </c>
      <c r="I8" s="166"/>
      <c r="J8" s="167" t="s">
        <v>67</v>
      </c>
    </row>
    <row r="9" spans="1:10" ht="23.25">
      <c r="A9" s="188" t="s">
        <v>68</v>
      </c>
      <c r="B9" s="168">
        <v>7332810</v>
      </c>
      <c r="C9" s="189" t="s">
        <v>71</v>
      </c>
      <c r="D9" s="168"/>
      <c r="E9" s="108"/>
      <c r="F9" s="187">
        <v>1153759.15</v>
      </c>
      <c r="G9" s="108"/>
      <c r="H9" s="107"/>
      <c r="I9" s="107"/>
      <c r="J9" s="107"/>
    </row>
    <row r="10" spans="1:10" ht="23.25">
      <c r="A10" s="188" t="s">
        <v>69</v>
      </c>
      <c r="B10" s="168">
        <v>0</v>
      </c>
      <c r="C10" s="189"/>
      <c r="D10" s="168"/>
      <c r="E10" s="108"/>
      <c r="F10" s="187"/>
      <c r="G10" s="108"/>
      <c r="H10" s="107"/>
      <c r="I10" s="107"/>
      <c r="J10" s="107"/>
    </row>
    <row r="11" spans="1:10" ht="23.25">
      <c r="A11" s="188" t="s">
        <v>70</v>
      </c>
      <c r="B11" s="168">
        <v>294394260</v>
      </c>
      <c r="C11" s="189" t="s">
        <v>71</v>
      </c>
      <c r="D11" s="168"/>
      <c r="E11" s="168"/>
      <c r="F11" s="168">
        <v>2714052.4</v>
      </c>
      <c r="G11" s="108"/>
      <c r="H11" s="107"/>
      <c r="I11" s="107"/>
      <c r="J11" s="107"/>
    </row>
    <row r="12" spans="1:10" ht="23.25">
      <c r="A12" s="188"/>
      <c r="B12" s="168"/>
      <c r="C12" s="168"/>
      <c r="D12" s="168"/>
      <c r="E12" s="168"/>
      <c r="F12" s="168"/>
      <c r="G12" s="108"/>
      <c r="H12" s="107"/>
      <c r="I12" s="107"/>
      <c r="J12" s="107"/>
    </row>
    <row r="13" spans="1:10" ht="23.25">
      <c r="A13" s="188"/>
      <c r="B13" s="168"/>
      <c r="C13" s="168"/>
      <c r="D13" s="168"/>
      <c r="E13" s="168"/>
      <c r="F13" s="168"/>
      <c r="G13" s="108"/>
      <c r="H13" s="107"/>
      <c r="I13" s="107"/>
      <c r="J13" s="107"/>
    </row>
    <row r="14" spans="1:2" ht="23.25">
      <c r="A14" s="109" t="s">
        <v>72</v>
      </c>
      <c r="B14" s="145"/>
    </row>
    <row r="15" ht="23.25">
      <c r="A15" s="109" t="s">
        <v>73</v>
      </c>
    </row>
    <row r="16" ht="23.25">
      <c r="A16" s="137"/>
    </row>
    <row r="17" ht="23.25">
      <c r="A17" s="137"/>
    </row>
    <row r="18" ht="23.25">
      <c r="A18" s="137"/>
    </row>
    <row r="19" ht="23.25">
      <c r="A19" s="137"/>
    </row>
    <row r="20" ht="23.25">
      <c r="A20" s="137"/>
    </row>
    <row r="21" ht="23.25">
      <c r="A21" s="137"/>
    </row>
    <row r="22" ht="23.25">
      <c r="A22" s="137"/>
    </row>
    <row r="23" ht="23.25">
      <c r="A23" s="137"/>
    </row>
    <row r="24" ht="23.25">
      <c r="A24" s="137"/>
    </row>
    <row r="25" ht="23.25">
      <c r="A25" s="137"/>
    </row>
    <row r="26" ht="23.25">
      <c r="A26" s="137"/>
    </row>
    <row r="27" ht="23.25">
      <c r="A27" s="137"/>
    </row>
    <row r="28" ht="23.25">
      <c r="A28" s="137"/>
    </row>
    <row r="29" ht="23.25">
      <c r="A29" s="137"/>
    </row>
    <row r="30" ht="23.25">
      <c r="A30" s="137"/>
    </row>
    <row r="31" ht="23.25">
      <c r="A31" s="137"/>
    </row>
    <row r="32" ht="23.25">
      <c r="A32" s="137"/>
    </row>
    <row r="33" ht="23.25">
      <c r="A33" s="137"/>
    </row>
    <row r="34" ht="23.25">
      <c r="A34" s="137"/>
    </row>
    <row r="35" ht="23.25">
      <c r="A35" s="137"/>
    </row>
    <row r="36" ht="23.25">
      <c r="A36" s="137"/>
    </row>
    <row r="37" ht="23.25">
      <c r="A37" s="137"/>
    </row>
    <row r="38" ht="23.25">
      <c r="A38" s="137"/>
    </row>
    <row r="39" ht="23.25">
      <c r="A39" s="137"/>
    </row>
    <row r="40" ht="23.25">
      <c r="A40" s="137"/>
    </row>
    <row r="41" ht="23.25">
      <c r="A41" s="137"/>
    </row>
    <row r="42" ht="23.25">
      <c r="A42" s="137"/>
    </row>
    <row r="43" ht="23.25">
      <c r="A43" s="137"/>
    </row>
    <row r="44" ht="23.25">
      <c r="A44" s="137"/>
    </row>
    <row r="45" ht="23.25">
      <c r="A45" s="137"/>
    </row>
    <row r="46" ht="23.25">
      <c r="A46" s="137"/>
    </row>
    <row r="47" ht="23.25">
      <c r="A47" s="137"/>
    </row>
    <row r="48" ht="23.25">
      <c r="A48" s="137"/>
    </row>
  </sheetData>
  <sheetProtection/>
  <mergeCells count="11">
    <mergeCell ref="A1:J1"/>
    <mergeCell ref="A2:J2"/>
    <mergeCell ref="A3:J3"/>
    <mergeCell ref="A4:J4"/>
    <mergeCell ref="A6:A7"/>
    <mergeCell ref="B6:B7"/>
    <mergeCell ref="I6:I7"/>
    <mergeCell ref="J6:J7"/>
    <mergeCell ref="D6:D7"/>
    <mergeCell ref="E6:E7"/>
    <mergeCell ref="F6:H6"/>
  </mergeCells>
  <printOptions/>
  <pageMargins left="0.25" right="0.26" top="0.58" bottom="0.8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EAK</cp:lastModifiedBy>
  <cp:lastPrinted>2013-04-01T08:30:46Z</cp:lastPrinted>
  <dcterms:created xsi:type="dcterms:W3CDTF">2006-06-15T00:26:51Z</dcterms:created>
  <dcterms:modified xsi:type="dcterms:W3CDTF">2013-04-05T02:06:40Z</dcterms:modified>
  <cp:category/>
  <cp:version/>
  <cp:contentType/>
  <cp:contentStatus/>
</cp:coreProperties>
</file>